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seul\Downloads\"/>
    </mc:Choice>
  </mc:AlternateContent>
  <xr:revisionPtr revIDLastSave="0" documentId="13_ncr:1_{E66F72A7-E441-458B-A72D-2A1B8B633117}" xr6:coauthVersionLast="47" xr6:coauthVersionMax="47" xr10:uidLastSave="{00000000-0000-0000-0000-000000000000}"/>
  <bookViews>
    <workbookView xWindow="-110" yWindow="-110" windowWidth="19420" windowHeight="11020" xr2:uid="{9FAB7260-20D7-499F-A64E-8F98CE2F644F}"/>
  </bookViews>
  <sheets>
    <sheet name="Main" sheetId="1" r:id="rId1"/>
    <sheet name="Charts" sheetId="7" r:id="rId2"/>
    <sheet name="SNB Income statemen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" i="7" l="1"/>
  <c r="U11" i="7"/>
  <c r="AB2" i="7" s="1"/>
  <c r="AA9" i="7"/>
  <c r="Z9" i="7"/>
  <c r="U9" i="7"/>
  <c r="AB8" i="7" s="1"/>
  <c r="AE3" i="7" s="1"/>
  <c r="AA8" i="7"/>
  <c r="Z8" i="7"/>
  <c r="U8" i="7"/>
  <c r="AB7" i="7"/>
  <c r="AE2" i="7" s="1"/>
  <c r="AA7" i="7"/>
  <c r="Z7" i="7"/>
  <c r="U6" i="7"/>
  <c r="AB9" i="7" s="1"/>
  <c r="AE4" i="7" s="1"/>
  <c r="U5" i="7"/>
  <c r="AD4" i="7"/>
  <c r="AC4" i="7"/>
  <c r="AB4" i="7"/>
  <c r="AA4" i="7"/>
  <c r="Z4" i="7"/>
  <c r="Y4" i="7"/>
  <c r="AD3" i="7"/>
  <c r="AC3" i="7"/>
  <c r="AB3" i="7"/>
  <c r="AA3" i="7"/>
  <c r="Z3" i="7"/>
  <c r="Y3" i="7"/>
  <c r="AD2" i="7"/>
  <c r="AC2" i="7"/>
  <c r="AA2" i="7"/>
  <c r="Z2" i="7"/>
  <c r="Y2" i="7"/>
  <c r="P20" i="1"/>
  <c r="O20" i="1"/>
  <c r="N20" i="1"/>
  <c r="L20" i="1"/>
  <c r="K20" i="1"/>
  <c r="M20" i="1"/>
  <c r="CI20" i="1"/>
  <c r="CH41" i="1"/>
  <c r="CH40" i="1"/>
  <c r="CH39" i="1"/>
  <c r="CH38" i="1"/>
  <c r="CH37" i="1"/>
  <c r="CH36" i="1"/>
  <c r="CH35" i="1"/>
  <c r="CH34" i="1"/>
  <c r="CH33" i="1"/>
  <c r="CH32" i="1"/>
  <c r="CH31" i="1"/>
  <c r="BL13" i="1"/>
  <c r="BL14" i="1" s="1"/>
  <c r="BK13" i="1"/>
  <c r="BJ13" i="1"/>
  <c r="DG9" i="1"/>
  <c r="DF9" i="1"/>
  <c r="DE9" i="1"/>
  <c r="DD9" i="1"/>
  <c r="DC9" i="1"/>
  <c r="DB9" i="1"/>
  <c r="DB20" i="1" s="1"/>
  <c r="DD20" i="1"/>
  <c r="DC20" i="1"/>
  <c r="BR20" i="1"/>
  <c r="BQ20" i="1"/>
  <c r="BO20" i="1"/>
  <c r="BN20" i="1"/>
  <c r="DJ20" i="1"/>
  <c r="DI20" i="1"/>
  <c r="DH20" i="1"/>
  <c r="DA20" i="1"/>
  <c r="CZ20" i="1"/>
  <c r="CY20" i="1"/>
  <c r="CX20" i="1"/>
  <c r="CW20" i="1"/>
  <c r="CV20" i="1"/>
  <c r="CR20" i="1"/>
  <c r="CQ20" i="1"/>
  <c r="CP20" i="1"/>
  <c r="CO20" i="1"/>
  <c r="CN20" i="1"/>
  <c r="CM20" i="1"/>
  <c r="CL20" i="1"/>
  <c r="CK20" i="1"/>
  <c r="CH20" i="1"/>
  <c r="CG20" i="1"/>
  <c r="CE20" i="1"/>
  <c r="CD20" i="1"/>
  <c r="CC20" i="1"/>
  <c r="CB20" i="1"/>
  <c r="CA20" i="1"/>
  <c r="BZ20" i="1"/>
  <c r="BX20" i="1"/>
  <c r="BW20" i="1"/>
  <c r="BV20" i="1"/>
  <c r="BU20" i="1"/>
  <c r="BT20" i="1"/>
  <c r="BS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Q20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DL14" i="1"/>
  <c r="DK14" i="1"/>
  <c r="DI14" i="1"/>
  <c r="DH14" i="1"/>
  <c r="DJ9" i="1"/>
  <c r="DI9" i="1"/>
  <c r="DH9" i="1"/>
  <c r="DJ6" i="1"/>
  <c r="DI6" i="1"/>
  <c r="DH6" i="1"/>
  <c r="DG14" i="1"/>
  <c r="DF14" i="1"/>
  <c r="DE14" i="1"/>
  <c r="DD14" i="1"/>
  <c r="DC14" i="1"/>
  <c r="DB14" i="1"/>
  <c r="BK14" i="1"/>
  <c r="BJ14" i="1"/>
  <c r="BL9" i="1"/>
  <c r="BK9" i="1"/>
  <c r="BJ9" i="1"/>
  <c r="BJ15" i="1" s="1"/>
  <c r="BU6" i="1"/>
  <c r="BU14" i="1" s="1"/>
  <c r="BS6" i="1"/>
  <c r="BS14" i="1" s="1"/>
  <c r="BT6" i="1"/>
  <c r="BT9" i="1" s="1"/>
  <c r="BT15" i="1" s="1"/>
  <c r="BR14" i="1"/>
  <c r="BQ14" i="1"/>
  <c r="BR9" i="1"/>
  <c r="BR15" i="1" s="1"/>
  <c r="BQ9" i="1"/>
  <c r="BQ15" i="1" s="1"/>
  <c r="BN6" i="1"/>
  <c r="BN14" i="1" s="1"/>
  <c r="BO6" i="1"/>
  <c r="BO14" i="1" s="1"/>
  <c r="DA14" i="1"/>
  <c r="CZ14" i="1"/>
  <c r="CY14" i="1"/>
  <c r="DA9" i="1"/>
  <c r="DA15" i="1" s="1"/>
  <c r="CZ9" i="1"/>
  <c r="CZ15" i="1" s="1"/>
  <c r="CY9" i="1"/>
  <c r="CY15" i="1" s="1"/>
  <c r="CV6" i="1"/>
  <c r="CV9" i="1" s="1"/>
  <c r="CV15" i="1" s="1"/>
  <c r="CX6" i="1"/>
  <c r="CX9" i="1" s="1"/>
  <c r="CX15" i="1" s="1"/>
  <c r="CW6" i="1"/>
  <c r="CW14" i="1" s="1"/>
  <c r="CR11" i="1"/>
  <c r="CQ11" i="1"/>
  <c r="CP11" i="1"/>
  <c r="CR6" i="1"/>
  <c r="CR14" i="1" s="1"/>
  <c r="CQ6" i="1"/>
  <c r="CQ14" i="1" s="1"/>
  <c r="CP6" i="1"/>
  <c r="CP14" i="1" s="1"/>
  <c r="L24" i="1"/>
  <c r="CO7" i="1"/>
  <c r="CO11" i="1" s="1"/>
  <c r="CN7" i="1"/>
  <c r="CN11" i="1" s="1"/>
  <c r="CM7" i="1"/>
  <c r="CM11" i="1" s="1"/>
  <c r="CN6" i="1"/>
  <c r="CO6" i="1"/>
  <c r="CO14" i="1" s="1"/>
  <c r="CM6" i="1"/>
  <c r="CM14" i="1" s="1"/>
  <c r="CL14" i="1"/>
  <c r="CK14" i="1"/>
  <c r="CL11" i="1"/>
  <c r="CK11" i="1"/>
  <c r="CL9" i="1"/>
  <c r="CL15" i="1" s="1"/>
  <c r="CK9" i="1"/>
  <c r="CK15" i="1" s="1"/>
  <c r="CI24" i="1"/>
  <c r="CI23" i="1" s="1"/>
  <c r="CH24" i="1"/>
  <c r="CH23" i="1" s="1"/>
  <c r="CG24" i="1"/>
  <c r="CG23" i="1" s="1"/>
  <c r="CF24" i="1"/>
  <c r="CF23" i="1" s="1"/>
  <c r="CF5" i="1"/>
  <c r="CG5" i="1"/>
  <c r="CG9" i="1" s="1"/>
  <c r="CG15" i="1" s="1"/>
  <c r="CH5" i="1"/>
  <c r="CH9" i="1" s="1"/>
  <c r="CH15" i="1" s="1"/>
  <c r="CI5" i="1"/>
  <c r="CI9" i="1" s="1"/>
  <c r="CI15" i="1" s="1"/>
  <c r="CG48" i="1"/>
  <c r="CG51" i="1" s="1"/>
  <c r="CH51" i="1" s="1"/>
  <c r="CI14" i="1"/>
  <c r="CH14" i="1"/>
  <c r="CG14" i="1"/>
  <c r="CI11" i="1"/>
  <c r="CH11" i="1"/>
  <c r="CG11" i="1"/>
  <c r="BG9" i="1"/>
  <c r="BG15" i="1" s="1"/>
  <c r="BD9" i="1"/>
  <c r="BD15" i="1" s="1"/>
  <c r="BE30" i="1"/>
  <c r="BD14" i="1"/>
  <c r="K8" i="1"/>
  <c r="AO11" i="1"/>
  <c r="AO9" i="1"/>
  <c r="AO15" i="1" s="1"/>
  <c r="AR11" i="1"/>
  <c r="AR9" i="1"/>
  <c r="AR15" i="1" s="1"/>
  <c r="BZ6" i="1"/>
  <c r="BZ14" i="1" s="1"/>
  <c r="CA6" i="1"/>
  <c r="CE11" i="1"/>
  <c r="CD11" i="1"/>
  <c r="CC11" i="1"/>
  <c r="CE6" i="1"/>
  <c r="CE9" i="1" s="1"/>
  <c r="CE15" i="1" s="1"/>
  <c r="CC6" i="1"/>
  <c r="CC14" i="1" s="1"/>
  <c r="CB8" i="1"/>
  <c r="CA8" i="1"/>
  <c r="BZ8" i="1"/>
  <c r="BC11" i="1"/>
  <c r="BB11" i="1"/>
  <c r="AZ11" i="1"/>
  <c r="AY11" i="1"/>
  <c r="BB14" i="1"/>
  <c r="BB9" i="1"/>
  <c r="BB15" i="1" s="1"/>
  <c r="BC14" i="1"/>
  <c r="BC9" i="1"/>
  <c r="BC15" i="1" s="1"/>
  <c r="AZ14" i="1"/>
  <c r="AY14" i="1"/>
  <c r="AZ9" i="1"/>
  <c r="AZ15" i="1" s="1"/>
  <c r="AY9" i="1"/>
  <c r="AY15" i="1" s="1"/>
  <c r="BY14" i="1"/>
  <c r="BX14" i="1"/>
  <c r="BW14" i="1"/>
  <c r="BV14" i="1"/>
  <c r="BI14" i="1"/>
  <c r="BH14" i="1"/>
  <c r="BG14" i="1"/>
  <c r="AW14" i="1"/>
  <c r="AV14" i="1"/>
  <c r="AU14" i="1"/>
  <c r="AT14" i="1"/>
  <c r="AS14" i="1"/>
  <c r="AR14" i="1"/>
  <c r="AQ14" i="1"/>
  <c r="AP14" i="1"/>
  <c r="AO14" i="1"/>
  <c r="AM14" i="1"/>
  <c r="AL14" i="1"/>
  <c r="AK14" i="1"/>
  <c r="AE14" i="1"/>
  <c r="AB14" i="1"/>
  <c r="AA14" i="1"/>
  <c r="Z14" i="1"/>
  <c r="Y14" i="1"/>
  <c r="X14" i="1"/>
  <c r="W14" i="1"/>
  <c r="V14" i="1"/>
  <c r="U14" i="1"/>
  <c r="S14" i="1"/>
  <c r="R14" i="1"/>
  <c r="P14" i="1"/>
  <c r="BV9" i="1"/>
  <c r="BV15" i="1" s="1"/>
  <c r="BY9" i="1"/>
  <c r="BY15" i="1" s="1"/>
  <c r="K24" i="1"/>
  <c r="L23" i="1"/>
  <c r="K23" i="1"/>
  <c r="M16" i="1"/>
  <c r="L16" i="1"/>
  <c r="K16" i="1"/>
  <c r="M13" i="1"/>
  <c r="L13" i="1"/>
  <c r="K13" i="1"/>
  <c r="L8" i="1"/>
  <c r="M7" i="1"/>
  <c r="L7" i="1"/>
  <c r="K7" i="1"/>
  <c r="K5" i="1"/>
  <c r="M4" i="1"/>
  <c r="L4" i="1"/>
  <c r="K4" i="1"/>
  <c r="N11" i="1"/>
  <c r="N6" i="1"/>
  <c r="N9" i="1" s="1"/>
  <c r="N15" i="1" s="1"/>
  <c r="O6" i="1"/>
  <c r="O9" i="1" s="1"/>
  <c r="O15" i="1" s="1"/>
  <c r="AU11" i="1"/>
  <c r="AU9" i="1"/>
  <c r="AU15" i="1" s="1"/>
  <c r="AK11" i="1"/>
  <c r="AK9" i="1"/>
  <c r="AK15" i="1" s="1"/>
  <c r="AJ11" i="1"/>
  <c r="AI11" i="1"/>
  <c r="AI6" i="1"/>
  <c r="AI9" i="1" s="1"/>
  <c r="AI15" i="1" s="1"/>
  <c r="AJ6" i="1"/>
  <c r="AJ9" i="1" s="1"/>
  <c r="AL9" i="1"/>
  <c r="AL15" i="1" s="1"/>
  <c r="AL11" i="1"/>
  <c r="AF11" i="1"/>
  <c r="AF6" i="1"/>
  <c r="AF9" i="1" s="1"/>
  <c r="AF15" i="1" s="1"/>
  <c r="Z11" i="1"/>
  <c r="Z9" i="1"/>
  <c r="Z15" i="1" s="1"/>
  <c r="AC6" i="1"/>
  <c r="AC9" i="1" s="1"/>
  <c r="AC15" i="1" s="1"/>
  <c r="AD6" i="1"/>
  <c r="AD14" i="1" s="1"/>
  <c r="AC11" i="1"/>
  <c r="W11" i="1"/>
  <c r="W9" i="1"/>
  <c r="W15" i="1" s="1"/>
  <c r="Q6" i="1"/>
  <c r="Q9" i="1" s="1"/>
  <c r="Q15" i="1" s="1"/>
  <c r="T6" i="1"/>
  <c r="T9" i="1" s="1"/>
  <c r="T15" i="1" s="1"/>
  <c r="T11" i="1"/>
  <c r="Q11" i="1"/>
  <c r="O11" i="1"/>
  <c r="AN11" i="1"/>
  <c r="AM11" i="1"/>
  <c r="AM9" i="1"/>
  <c r="AT11" i="1"/>
  <c r="AS11" i="1"/>
  <c r="AT9" i="1"/>
  <c r="AT15" i="1" s="1"/>
  <c r="AS9" i="1"/>
  <c r="AS15" i="1" s="1"/>
  <c r="BL15" i="1" l="1"/>
  <c r="BK15" i="1"/>
  <c r="DF20" i="1"/>
  <c r="DG20" i="1"/>
  <c r="DE20" i="1"/>
  <c r="BS9" i="1"/>
  <c r="BS15" i="1" s="1"/>
  <c r="CP9" i="1"/>
  <c r="CP15" i="1" s="1"/>
  <c r="CV14" i="1"/>
  <c r="CR9" i="1"/>
  <c r="CR15" i="1" s="1"/>
  <c r="CX14" i="1"/>
  <c r="CM9" i="1"/>
  <c r="CM15" i="1" s="1"/>
  <c r="BU9" i="1"/>
  <c r="BU15" i="1" s="1"/>
  <c r="CW9" i="1"/>
  <c r="CW15" i="1" s="1"/>
  <c r="CN9" i="1"/>
  <c r="CN15" i="1" s="1"/>
  <c r="BO9" i="1"/>
  <c r="BO15" i="1" s="1"/>
  <c r="CG52" i="1"/>
  <c r="CH52" i="1" s="1"/>
  <c r="CQ9" i="1"/>
  <c r="CQ15" i="1" s="1"/>
  <c r="BN9" i="1"/>
  <c r="BN15" i="1" s="1"/>
  <c r="BZ9" i="1"/>
  <c r="BZ15" i="1" s="1"/>
  <c r="CG49" i="1"/>
  <c r="CH49" i="1" s="1"/>
  <c r="CG50" i="1"/>
  <c r="CH50" i="1" s="1"/>
  <c r="CN14" i="1"/>
  <c r="BT14" i="1"/>
  <c r="CO9" i="1"/>
  <c r="CO15" i="1" s="1"/>
  <c r="CC9" i="1"/>
  <c r="CC15" i="1" s="1"/>
  <c r="CA9" i="1"/>
  <c r="AI14" i="1"/>
  <c r="Q14" i="1"/>
  <c r="AJ14" i="1"/>
  <c r="T14" i="1"/>
  <c r="AC14" i="1"/>
  <c r="AF14" i="1"/>
  <c r="O14" i="1"/>
  <c r="N14" i="1"/>
  <c r="K6" i="1"/>
  <c r="K14" i="1" s="1"/>
  <c r="K11" i="1"/>
  <c r="K9" i="1"/>
  <c r="K15" i="1" s="1"/>
  <c r="AJ15" i="1"/>
  <c r="AM15" i="1"/>
  <c r="BI1" i="1"/>
  <c r="AQ11" i="1"/>
  <c r="AP11" i="1"/>
  <c r="AQ9" i="1"/>
  <c r="AQ15" i="1" s="1"/>
  <c r="AP9" i="1"/>
  <c r="AN6" i="1"/>
  <c r="CE14" i="1"/>
  <c r="CD6" i="1"/>
  <c r="CB6" i="1"/>
  <c r="CB13" i="1"/>
  <c r="CA13" i="1"/>
  <c r="BX9" i="1"/>
  <c r="BX15" i="1" s="1"/>
  <c r="BW9" i="1"/>
  <c r="BF6" i="1"/>
  <c r="BE6" i="1"/>
  <c r="BI9" i="1"/>
  <c r="BI15" i="1" s="1"/>
  <c r="BH9" i="1"/>
  <c r="BH15" i="1" s="1"/>
  <c r="AW11" i="1"/>
  <c r="AV11" i="1"/>
  <c r="AW9" i="1"/>
  <c r="AW15" i="1" s="1"/>
  <c r="AV9" i="1"/>
  <c r="AV15" i="1" s="1"/>
  <c r="AE11" i="1"/>
  <c r="AD11" i="1"/>
  <c r="AD9" i="1"/>
  <c r="AE9" i="1"/>
  <c r="AE15" i="1" s="1"/>
  <c r="AH11" i="1"/>
  <c r="AG11" i="1"/>
  <c r="AH6" i="1"/>
  <c r="AH14" i="1" s="1"/>
  <c r="AG6" i="1"/>
  <c r="AB11" i="1"/>
  <c r="AA11" i="1"/>
  <c r="AB9" i="1"/>
  <c r="AB15" i="1" s="1"/>
  <c r="AA9" i="1"/>
  <c r="AA15" i="1" s="1"/>
  <c r="Y11" i="1"/>
  <c r="X11" i="1"/>
  <c r="Y9" i="1"/>
  <c r="Y15" i="1" s="1"/>
  <c r="X9" i="1"/>
  <c r="X15" i="1" s="1"/>
  <c r="V5" i="1"/>
  <c r="U5" i="1"/>
  <c r="V11" i="1"/>
  <c r="U11" i="1"/>
  <c r="S9" i="1"/>
  <c r="S15" i="1" s="1"/>
  <c r="R9" i="1"/>
  <c r="S11" i="1"/>
  <c r="R11" i="1"/>
  <c r="P8" i="1"/>
  <c r="CD14" i="1" l="1"/>
  <c r="CD9" i="1"/>
  <c r="CD15" i="1" s="1"/>
  <c r="AG9" i="1"/>
  <c r="AG15" i="1" s="1"/>
  <c r="AG14" i="1"/>
  <c r="BF9" i="1"/>
  <c r="BF15" i="1" s="1"/>
  <c r="BF14" i="1"/>
  <c r="CB9" i="1"/>
  <c r="CB15" i="1" s="1"/>
  <c r="CB14" i="1"/>
  <c r="BE9" i="1"/>
  <c r="BE15" i="1" s="1"/>
  <c r="BE14" i="1"/>
  <c r="CA15" i="1"/>
  <c r="CA14" i="1"/>
  <c r="AN9" i="1"/>
  <c r="AN15" i="1" s="1"/>
  <c r="AN14" i="1"/>
  <c r="U9" i="1"/>
  <c r="L5" i="1"/>
  <c r="AH9" i="1"/>
  <c r="AH15" i="1" s="1"/>
  <c r="M6" i="1"/>
  <c r="M14" i="1" s="1"/>
  <c r="V9" i="1"/>
  <c r="V15" i="1" s="1"/>
  <c r="M5" i="1"/>
  <c r="P9" i="1"/>
  <c r="P15" i="1" s="1"/>
  <c r="M8" i="1"/>
  <c r="L6" i="1"/>
  <c r="L14" i="1" s="1"/>
  <c r="L11" i="1"/>
  <c r="BW15" i="1"/>
  <c r="AD15" i="1"/>
  <c r="AP15" i="1"/>
  <c r="R20" i="1"/>
  <c r="R15" i="1"/>
  <c r="P11" i="1"/>
  <c r="M11" i="1" s="1"/>
  <c r="L9" i="1" l="1"/>
  <c r="L15" i="1" s="1"/>
  <c r="U15" i="1"/>
  <c r="M9" i="1"/>
  <c r="M15" i="1" s="1"/>
</calcChain>
</file>

<file path=xl/sharedStrings.xml><?xml version="1.0" encoding="utf-8"?>
<sst xmlns="http://schemas.openxmlformats.org/spreadsheetml/2006/main" count="180" uniqueCount="134">
  <si>
    <t>ECB</t>
  </si>
  <si>
    <t>Bundesbank</t>
  </si>
  <si>
    <t>BdeF</t>
  </si>
  <si>
    <t>Reval acs</t>
  </si>
  <si>
    <t>monpol book</t>
  </si>
  <si>
    <t>monpol mkt</t>
  </si>
  <si>
    <t>BdIt</t>
  </si>
  <si>
    <t>BdeE</t>
  </si>
  <si>
    <t>BNB</t>
  </si>
  <si>
    <t>DNB</t>
  </si>
  <si>
    <t>Suomen Pankki</t>
  </si>
  <si>
    <t>Danmarks NationalBank</t>
  </si>
  <si>
    <t>Sveriges Riksbank</t>
  </si>
  <si>
    <t>SEK</t>
  </si>
  <si>
    <t>CHF</t>
  </si>
  <si>
    <t>Swiss National Bank</t>
  </si>
  <si>
    <t>DKK</t>
  </si>
  <si>
    <t>GBP</t>
  </si>
  <si>
    <t>USD</t>
  </si>
  <si>
    <t>Federal Reserve</t>
  </si>
  <si>
    <t>Banco de Portugal</t>
  </si>
  <si>
    <t>Bank of Greece</t>
  </si>
  <si>
    <t>net mk to mkt equity</t>
  </si>
  <si>
    <t>Leverage (mtm)</t>
  </si>
  <si>
    <t>mtm equity as % GDP</t>
  </si>
  <si>
    <t>Central Bank of Ireland</t>
  </si>
  <si>
    <t>DE</t>
  </si>
  <si>
    <t>FR</t>
  </si>
  <si>
    <t>IT</t>
  </si>
  <si>
    <t>ES</t>
  </si>
  <si>
    <t>BE</t>
  </si>
  <si>
    <t>PT</t>
  </si>
  <si>
    <t>GR</t>
  </si>
  <si>
    <t>IE</t>
  </si>
  <si>
    <t>FI</t>
  </si>
  <si>
    <t>Eurosystem</t>
  </si>
  <si>
    <t>Gold revaluation accounts</t>
  </si>
  <si>
    <t>Austrian National Bank</t>
  </si>
  <si>
    <t>2024P</t>
  </si>
  <si>
    <t>Reported profit i.e. after provisions but before transfer from reserves</t>
  </si>
  <si>
    <t>De Nederlandsche Bank</t>
  </si>
  <si>
    <t>Banco de Espana</t>
  </si>
  <si>
    <t>Banca d'Italia</t>
  </si>
  <si>
    <t>Banque de France</t>
  </si>
  <si>
    <t>mtm</t>
  </si>
  <si>
    <t>SNB Income statement</t>
  </si>
  <si>
    <t>Annual result</t>
  </si>
  <si>
    <t>Distribution to cantons and federation</t>
  </si>
  <si>
    <t xml:space="preserve"> </t>
  </si>
  <si>
    <t>Leverage reported</t>
  </si>
  <si>
    <t>NB Slovakia</t>
  </si>
  <si>
    <t>CB Luxembourg</t>
  </si>
  <si>
    <t>unrealized monpol loss (stock)</t>
  </si>
  <si>
    <t>Note:unrealized monpol loss is the "due from HM Treasury under indemnity" stock. Corresponds to fair value of the APF assets minus liabilities (loan from BoE).</t>
  </si>
  <si>
    <t>Gold is reimbursable certificates from Treasury</t>
  </si>
  <si>
    <t>Note: we subtract the idemnity payments received by AFP in 2022-24 from the capital and reserves</t>
  </si>
  <si>
    <t>Bank of England+AFP</t>
  </si>
  <si>
    <t>Provisions for general or financial risks not included in reported capital and reserves</t>
  </si>
  <si>
    <t>Bank of Japan</t>
  </si>
  <si>
    <t>End March</t>
  </si>
  <si>
    <t>JPY billion</t>
  </si>
  <si>
    <t>end-Mar</t>
  </si>
  <si>
    <t>JPY USD</t>
  </si>
  <si>
    <t>1 tonne= fine oz</t>
  </si>
  <si>
    <t>Canada</t>
  </si>
  <si>
    <t>Indemnity position</t>
  </si>
  <si>
    <t>Note: some of the B Canada's Govt assets are not indeminified and are booked at amortised cost</t>
  </si>
  <si>
    <t>Above monpol book only includes QE prtfolio</t>
  </si>
  <si>
    <t>CAD</t>
  </si>
  <si>
    <t>NZD</t>
  </si>
  <si>
    <t>Indemnity cap value</t>
  </si>
  <si>
    <t>June</t>
  </si>
  <si>
    <t>Indemnity cash flow (net interest plus realized loss on QT)</t>
  </si>
  <si>
    <t>Capital and reserves minus loss in most recent year if that has not been subtracted munus accumulated losses cariied forward AND MINUS INDEMINTY CAP VALUE</t>
  </si>
  <si>
    <t>AUD</t>
  </si>
  <si>
    <t>RB New Zealand</t>
  </si>
  <si>
    <t>RB Australia</t>
  </si>
  <si>
    <t>Gold at fair value</t>
  </si>
  <si>
    <t>B Korea</t>
  </si>
  <si>
    <t>NIS</t>
  </si>
  <si>
    <t>B Israel</t>
  </si>
  <si>
    <t>CB Chile</t>
  </si>
  <si>
    <t>NB Poland</t>
  </si>
  <si>
    <t>PLN</t>
  </si>
  <si>
    <t>Magyar NB</t>
  </si>
  <si>
    <t>Czech NB</t>
  </si>
  <si>
    <t>CZK</t>
  </si>
  <si>
    <t>Norges B</t>
  </si>
  <si>
    <t>NKK</t>
  </si>
  <si>
    <t>HUF</t>
  </si>
  <si>
    <t>CLP</t>
  </si>
  <si>
    <t>KRW</t>
  </si>
  <si>
    <t>Bank Mexico</t>
  </si>
  <si>
    <t>MXN</t>
  </si>
  <si>
    <t>TRY</t>
  </si>
  <si>
    <t>CBR Turkiye</t>
  </si>
  <si>
    <t>COP</t>
  </si>
  <si>
    <t>B de la R Colombia</t>
  </si>
  <si>
    <t>SGD</t>
  </si>
  <si>
    <t>MA Singapore</t>
  </si>
  <si>
    <t>exch rate eur</t>
  </si>
  <si>
    <t/>
  </si>
  <si>
    <t>GDP (eurostat -eur)</t>
  </si>
  <si>
    <t>Total assets (/1000)</t>
  </si>
  <si>
    <t>GDP (nat curr - from Eurostat if available or imf weo March 2025 if not)</t>
  </si>
  <si>
    <t>Gold is at book value in acc; gilts are at book value; FX is at fair value</t>
  </si>
  <si>
    <t>No info in BOJ report on what the gold is worth at fair v</t>
  </si>
  <si>
    <t>coupon</t>
  </si>
  <si>
    <t>valued at march 25 discount</t>
  </si>
  <si>
    <t>Reval accounts above is notional: uses what the gold (846.0 metric tonnes) would be worth if valued at mkt price (see below)</t>
  </si>
  <si>
    <t>NL</t>
  </si>
  <si>
    <t>AT</t>
  </si>
  <si>
    <t>SK</t>
  </si>
  <si>
    <t>SNB</t>
  </si>
  <si>
    <t>BOE+AFP</t>
  </si>
  <si>
    <t xml:space="preserve">Fed </t>
  </si>
  <si>
    <t>BOE+AFP Rep</t>
  </si>
  <si>
    <t>Fed Rep</t>
  </si>
  <si>
    <t>Buba Rep</t>
  </si>
  <si>
    <t>BOE+AFP mtm</t>
  </si>
  <si>
    <t>Fed mtm</t>
  </si>
  <si>
    <t>Buba mtm</t>
  </si>
  <si>
    <t>Fed</t>
  </si>
  <si>
    <t>National Bank of Belgium</t>
  </si>
  <si>
    <t>Bank of England Plus APF</t>
  </si>
  <si>
    <t>Lowest mtm/gdp%</t>
  </si>
  <si>
    <t>March</t>
  </si>
  <si>
    <t>Copied from "Main"</t>
  </si>
  <si>
    <t>Excludes GPFG fund on both sides</t>
  </si>
  <si>
    <t>end-Feb</t>
  </si>
  <si>
    <t>ECB+Biggest 11</t>
  </si>
  <si>
    <t>2024 mtm as % GDP</t>
  </si>
  <si>
    <t>Note: At end-2021 total APP+PEPP holdings of eurosystem were €4721 billion (APP of 3123, PEPP 1598). GDP in 2021 was €12555 billion, giving a ratio of 37.6%. Sources: Asset purchase programmes and Database - Eurostat. (Holdings continued to rise in 2022 to a nominal peak of 4983, but GDP increased slightly faster).</t>
  </si>
  <si>
    <t>Note: Bond holdings of APF were £894.7 billion at end 2021.  GDP in 2021 was £2285.4 billion according to IMF WEO database. Giving a ratio of 39%. Sources: Asset Purchase Facility Quarterly Report - 2022 Q1 | Bank of England and Select Country or Country Groups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</si>
</sst>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#,##0.##########"/>
    <numFmt numFmtId="167" formatCode="#,##0.0000"/>
    <numFmt numFmtId="168" formatCode="#,##0.000"/>
    <numFmt numFmtId="169" formatCode="0.00000"/>
  </numFmts>
  <fonts count="14" x14ac:knownFonts="1">
    <font>
      <sz val="11"/>
      <color theme="1"/>
      <name val="Aptos Narrow"/>
      <family val="2"/>
      <scheme val="minor"/>
    </font>
    <font>
      <sz val="10"/>
      <color rgb="FF1F1F1F"/>
      <name val="Arial"/>
      <family val="2"/>
    </font>
    <font>
      <sz val="11"/>
      <color rgb="FF1F1F1F"/>
      <name val="Aptos Narrow"/>
      <family val="2"/>
    </font>
    <font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1F1F1F"/>
      <name val="Aptos Narrow"/>
      <family val="2"/>
      <scheme val="minor"/>
    </font>
    <font>
      <b/>
      <sz val="11"/>
      <name val="Aptos Narrow"/>
      <family val="2"/>
      <scheme val="minor"/>
    </font>
    <font>
      <sz val="9"/>
      <color rgb="FF001D35"/>
      <name val="Arial"/>
      <family val="2"/>
    </font>
    <font>
      <sz val="11"/>
      <color rgb="FFFF0000"/>
      <name val="Aptos Narrow"/>
      <family val="2"/>
      <scheme val="minor"/>
    </font>
    <font>
      <sz val="11"/>
      <color theme="3" tint="0.499984740745262"/>
      <name val="Aptos Narrow"/>
      <family val="2"/>
      <scheme val="minor"/>
    </font>
    <font>
      <sz val="9"/>
      <name val="Arial"/>
      <family val="2"/>
    </font>
    <font>
      <sz val="11"/>
      <color theme="9" tint="-0.249977111117893"/>
      <name val="Aptos Narrow"/>
      <family val="2"/>
      <scheme val="minor"/>
    </font>
    <font>
      <i/>
      <sz val="11"/>
      <color theme="9" tint="-0.249977111117893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AF7"/>
      </patternFill>
    </fill>
    <fill>
      <patternFill patternType="solid">
        <fgColor rgb="FFF6F6F6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3" fontId="0" fillId="0" borderId="0" xfId="0" applyNumberFormat="1" applyAlignment="1">
      <alignment horizontal="right"/>
    </xf>
    <xf numFmtId="1" fontId="6" fillId="2" borderId="0" xfId="0" applyNumberFormat="1" applyFont="1" applyFill="1" applyAlignment="1">
      <alignment horizontal="right" vertical="top" wrapText="1"/>
    </xf>
    <xf numFmtId="1" fontId="6" fillId="2" borderId="0" xfId="0" applyNumberFormat="1" applyFont="1" applyFill="1" applyAlignment="1">
      <alignment horizontal="right" vertical="center" wrapText="1"/>
    </xf>
    <xf numFmtId="1" fontId="0" fillId="0" borderId="0" xfId="0" applyNumberFormat="1" applyAlignment="1">
      <alignment horizontal="right"/>
    </xf>
    <xf numFmtId="1" fontId="6" fillId="2" borderId="0" xfId="0" applyNumberFormat="1" applyFont="1" applyFill="1" applyAlignment="1">
      <alignment horizontal="right" wrapText="1"/>
    </xf>
    <xf numFmtId="2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5" fillId="0" borderId="1" xfId="0" applyFont="1" applyBorder="1"/>
    <xf numFmtId="0" fontId="4" fillId="0" borderId="1" xfId="0" applyFont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" fontId="0" fillId="0" borderId="0" xfId="0" applyNumberFormat="1"/>
    <xf numFmtId="1" fontId="5" fillId="0" borderId="0" xfId="0" applyNumberFormat="1" applyFont="1"/>
    <xf numFmtId="3" fontId="0" fillId="3" borderId="2" xfId="0" applyNumberFormat="1" applyFill="1" applyBorder="1" applyAlignment="1">
      <alignment horizontal="right"/>
    </xf>
    <xf numFmtId="3" fontId="0" fillId="3" borderId="0" xfId="0" applyNumberFormat="1" applyFill="1" applyAlignment="1">
      <alignment horizontal="right"/>
    </xf>
    <xf numFmtId="2" fontId="0" fillId="0" borderId="0" xfId="0" applyNumberFormat="1" applyAlignment="1">
      <alignment shrinkToFit="1"/>
    </xf>
    <xf numFmtId="2" fontId="0" fillId="0" borderId="1" xfId="0" applyNumberFormat="1" applyBorder="1" applyAlignment="1">
      <alignment shrinkToFit="1"/>
    </xf>
    <xf numFmtId="0" fontId="7" fillId="0" borderId="0" xfId="0" applyFont="1"/>
    <xf numFmtId="0" fontId="8" fillId="0" borderId="0" xfId="0" applyFont="1"/>
    <xf numFmtId="165" fontId="0" fillId="0" borderId="0" xfId="0" applyNumberFormat="1"/>
    <xf numFmtId="1" fontId="5" fillId="0" borderId="1" xfId="0" applyNumberFormat="1" applyFont="1" applyBorder="1"/>
    <xf numFmtId="0" fontId="9" fillId="0" borderId="0" xfId="0" applyFont="1"/>
    <xf numFmtId="0" fontId="9" fillId="0" borderId="1" xfId="0" applyFont="1" applyBorder="1"/>
    <xf numFmtId="2" fontId="9" fillId="0" borderId="0" xfId="0" applyNumberFormat="1" applyFont="1"/>
    <xf numFmtId="2" fontId="9" fillId="0" borderId="1" xfId="0" applyNumberFormat="1" applyFont="1" applyBorder="1"/>
    <xf numFmtId="2" fontId="4" fillId="0" borderId="0" xfId="0" applyNumberFormat="1" applyFont="1" applyAlignment="1">
      <alignment horizontal="right"/>
    </xf>
    <xf numFmtId="0" fontId="10" fillId="0" borderId="0" xfId="0" applyFont="1"/>
    <xf numFmtId="0" fontId="10" fillId="0" borderId="1" xfId="0" applyFont="1" applyBorder="1"/>
    <xf numFmtId="0" fontId="10" fillId="0" borderId="0" xfId="0" applyFont="1" applyAlignment="1">
      <alignment horizontal="right" vertical="top"/>
    </xf>
    <xf numFmtId="166" fontId="11" fillId="4" borderId="0" xfId="0" applyNumberFormat="1" applyFont="1" applyFill="1" applyAlignment="1">
      <alignment horizontal="right" vertical="center" shrinkToFit="1"/>
    </xf>
    <xf numFmtId="3" fontId="11" fillId="4" borderId="0" xfId="0" applyNumberFormat="1" applyFont="1" applyFill="1" applyAlignment="1">
      <alignment horizontal="right" vertical="center" shrinkToFit="1"/>
    </xf>
    <xf numFmtId="167" fontId="11" fillId="0" borderId="0" xfId="0" applyNumberFormat="1" applyFont="1" applyAlignment="1">
      <alignment horizontal="right" vertical="center" shrinkToFit="1"/>
    </xf>
    <xf numFmtId="3" fontId="11" fillId="0" borderId="0" xfId="0" applyNumberFormat="1" applyFont="1" applyAlignment="1">
      <alignment horizontal="right" vertical="center" shrinkToFit="1"/>
    </xf>
    <xf numFmtId="166" fontId="11" fillId="0" borderId="0" xfId="0" applyNumberFormat="1" applyFont="1" applyAlignment="1">
      <alignment horizontal="right" vertical="center" shrinkToFit="1"/>
    </xf>
    <xf numFmtId="167" fontId="11" fillId="4" borderId="0" xfId="0" applyNumberFormat="1" applyFont="1" applyFill="1" applyAlignment="1">
      <alignment horizontal="right" vertical="center" shrinkToFit="1"/>
    </xf>
    <xf numFmtId="4" fontId="11" fillId="0" borderId="0" xfId="0" applyNumberFormat="1" applyFont="1" applyAlignment="1">
      <alignment horizontal="right" vertical="center" shrinkToFit="1"/>
    </xf>
    <xf numFmtId="168" fontId="11" fillId="0" borderId="0" xfId="0" applyNumberFormat="1" applyFont="1" applyAlignment="1">
      <alignment horizontal="right" vertical="center" shrinkToFit="1"/>
    </xf>
    <xf numFmtId="4" fontId="0" fillId="0" borderId="0" xfId="0" applyNumberFormat="1"/>
    <xf numFmtId="3" fontId="0" fillId="0" borderId="0" xfId="0" applyNumberFormat="1"/>
    <xf numFmtId="1" fontId="10" fillId="0" borderId="0" xfId="0" applyNumberFormat="1" applyFont="1"/>
    <xf numFmtId="0" fontId="12" fillId="0" borderId="0" xfId="0" applyFont="1"/>
    <xf numFmtId="0" fontId="12" fillId="0" borderId="1" xfId="0" applyFont="1" applyBorder="1"/>
    <xf numFmtId="2" fontId="12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2" fontId="0" fillId="0" borderId="1" xfId="0" applyNumberFormat="1" applyBorder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Leverage ratios at Euro Area Central Banks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MTM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1E54E62-79AC-4B0C-886B-6CB69597EDE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502-467E-A5F0-42460C9D296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365FB76-58E5-4134-9028-F66D25426D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502-467E-A5F0-42460C9D296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66F2C60-BBED-425C-8739-03A1C2B04B7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502-467E-A5F0-42460C9D296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97F69E-A8F6-4DBF-B793-D552B5788A9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502-467E-A5F0-42460C9D296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9A45390-5AB3-4078-8B15-D8ACC69656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502-467E-A5F0-42460C9D296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ACB877B-27ED-431B-8F0F-E0C797CAA00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502-467E-A5F0-42460C9D296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3D2E8C4-0F4A-4B97-9D78-F63903C2424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502-467E-A5F0-42460C9D296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EE898C4-22A4-4F02-B8BA-500D249E64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502-467E-A5F0-42460C9D296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44E5696-9314-40F9-BE2C-C4F854B32F8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502-467E-A5F0-42460C9D296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E63F243-8EF4-4881-9BD8-42826D3C980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502-467E-A5F0-42460C9D296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0D80E3F-90AE-4B9B-BEA1-CFF26D76BA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502-467E-A5F0-42460C9D296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54AAF6F-BFC7-4734-8303-365BD723F3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502-467E-A5F0-42460C9D296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6A04AC1-B296-47D0-88C8-1AF36F2886D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502-467E-A5F0-42460C9D29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Charts!$C$8:$O$8</c:f>
              <c:numCache>
                <c:formatCode>0.0</c:formatCode>
                <c:ptCount val="13"/>
                <c:pt idx="0">
                  <c:v>1.1000000000000001</c:v>
                </c:pt>
                <c:pt idx="1">
                  <c:v>0.12563593004769474</c:v>
                </c:pt>
                <c:pt idx="2">
                  <c:v>0.55929868503443958</c:v>
                </c:pt>
                <c:pt idx="3">
                  <c:v>2.0992817238627293</c:v>
                </c:pt>
                <c:pt idx="4">
                  <c:v>0.19789695057833859</c:v>
                </c:pt>
                <c:pt idx="5">
                  <c:v>1.8639593908629442</c:v>
                </c:pt>
                <c:pt idx="6">
                  <c:v>1.2122377622377623</c:v>
                </c:pt>
                <c:pt idx="7">
                  <c:v>0.84048582995951415</c:v>
                </c:pt>
                <c:pt idx="8">
                  <c:v>1.0837837837837838</c:v>
                </c:pt>
                <c:pt idx="9">
                  <c:v>1.5685840707964602</c:v>
                </c:pt>
                <c:pt idx="10">
                  <c:v>3.3717391304347828</c:v>
                </c:pt>
                <c:pt idx="11">
                  <c:v>1.652247191011236</c:v>
                </c:pt>
                <c:pt idx="12">
                  <c:v>0.6</c:v>
                </c:pt>
              </c:numCache>
            </c:numRef>
          </c:xVal>
          <c:yVal>
            <c:numRef>
              <c:f>Charts!$C$9:$O$9</c:f>
              <c:numCache>
                <c:formatCode>0.0</c:formatCode>
                <c:ptCount val="13"/>
                <c:pt idx="0">
                  <c:v>0.7</c:v>
                </c:pt>
                <c:pt idx="1">
                  <c:v>4.5840620031796506</c:v>
                </c:pt>
                <c:pt idx="2">
                  <c:v>7.9349405134627427</c:v>
                </c:pt>
                <c:pt idx="3">
                  <c:v>11.820111731843575</c:v>
                </c:pt>
                <c:pt idx="4">
                  <c:v>-1</c:v>
                </c:pt>
                <c:pt idx="5">
                  <c:v>5.1180203045685282</c:v>
                </c:pt>
                <c:pt idx="6">
                  <c:v>-0.11468531468531469</c:v>
                </c:pt>
                <c:pt idx="7">
                  <c:v>4.1708502024291496</c:v>
                </c:pt>
                <c:pt idx="8">
                  <c:v>10.237297297297298</c:v>
                </c:pt>
                <c:pt idx="9">
                  <c:v>-0.52345132743362832</c:v>
                </c:pt>
                <c:pt idx="10">
                  <c:v>1.9570652173913043</c:v>
                </c:pt>
                <c:pt idx="11">
                  <c:v>0.69438202247191017</c:v>
                </c:pt>
                <c:pt idx="12">
                  <c:v>-4.4000000000000004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Charts!$C$1:$O$1</c15:f>
                <c15:dlblRangeCache>
                  <c:ptCount val="13"/>
                  <c:pt idx="0">
                    <c:v>ECB</c:v>
                  </c:pt>
                  <c:pt idx="1">
                    <c:v>DE</c:v>
                  </c:pt>
                  <c:pt idx="2">
                    <c:v>FR</c:v>
                  </c:pt>
                  <c:pt idx="3">
                    <c:v>IT</c:v>
                  </c:pt>
                  <c:pt idx="4">
                    <c:v>ES</c:v>
                  </c:pt>
                  <c:pt idx="5">
                    <c:v>NL</c:v>
                  </c:pt>
                  <c:pt idx="6">
                    <c:v>BE</c:v>
                  </c:pt>
                  <c:pt idx="7">
                    <c:v>AT</c:v>
                  </c:pt>
                  <c:pt idx="8">
                    <c:v>PT</c:v>
                  </c:pt>
                  <c:pt idx="9">
                    <c:v>GR</c:v>
                  </c:pt>
                  <c:pt idx="10">
                    <c:v>IE</c:v>
                  </c:pt>
                  <c:pt idx="11">
                    <c:v>FI</c:v>
                  </c:pt>
                  <c:pt idx="12">
                    <c:v>SK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0502-467E-A5F0-42460C9D2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58639"/>
        <c:axId val="1066960559"/>
      </c:scatterChart>
      <c:valAx>
        <c:axId val="1066958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Reported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60559"/>
        <c:crosses val="autoZero"/>
        <c:crossBetween val="midCat"/>
      </c:valAx>
      <c:valAx>
        <c:axId val="1066960559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MTM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3175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58639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Leverage Ratios</a:t>
            </a:r>
            <a:r>
              <a:rPr lang="en-IE" baseline="0"/>
              <a:t> at</a:t>
            </a:r>
            <a:r>
              <a:rPr lang="en-IE"/>
              <a:t> Euro Area Central Banks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776C899-A1FD-4653-B9AC-618FC9398CC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286-48EB-BA15-475C33F2080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04F640B-B475-4C1F-A7F6-6053B829299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286-48EB-BA15-475C33F2080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B49E471-0084-4B48-9FCD-AEA972FDF45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286-48EB-BA15-475C33F2080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F3DF05-0D15-4C0D-9CAA-B2142028A90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286-48EB-BA15-475C33F2080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1461596-9280-4E9B-9A6C-71FC2B3EC5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286-48EB-BA15-475C33F2080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6DD2141-958B-4D5C-AE82-F4F69E10EF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286-48EB-BA15-475C33F2080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5938FF1-DE75-481D-8FFE-A8696790732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286-48EB-BA15-475C33F2080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D7289E3-9D55-4CDF-AE6C-C49B53AA32C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286-48EB-BA15-475C33F2080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3E04994-7CA3-4315-A741-86CC769DDD6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286-48EB-BA15-475C33F2080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7DF086F-1D3B-431B-A497-F81172224A4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286-48EB-BA15-475C33F2080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146F5FE-2069-433B-AD98-D1FACA0F04E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286-48EB-BA15-475C33F2080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DDD3BB6-54ED-4C1D-899B-1011519F206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286-48EB-BA15-475C33F2080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286-48EB-BA15-475C33F208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Charts!$C$5:$O$5</c:f>
              <c:numCache>
                <c:formatCode>0.0</c:formatCode>
                <c:ptCount val="13"/>
                <c:pt idx="0" formatCode="0.00">
                  <c:v>-4.4461778471138844E-2</c:v>
                </c:pt>
                <c:pt idx="1">
                  <c:v>-0.7017699115044248</c:v>
                </c:pt>
                <c:pt idx="2">
                  <c:v>1.9788918205804749E-4</c:v>
                </c:pt>
                <c:pt idx="3">
                  <c:v>2.3826086956521739</c:v>
                </c:pt>
                <c:pt idx="4">
                  <c:v>0.20523446019629227</c:v>
                </c:pt>
                <c:pt idx="5">
                  <c:v>1.0761421319796953</c:v>
                </c:pt>
                <c:pt idx="6">
                  <c:v>-6.2537764350453176E-2</c:v>
                </c:pt>
                <c:pt idx="7">
                  <c:v>-1.5611814345991562E-2</c:v>
                </c:pt>
                <c:pt idx="8">
                  <c:v>1.0140625000000001</c:v>
                </c:pt>
                <c:pt idx="9">
                  <c:v>1.6</c:v>
                </c:pt>
                <c:pt idx="10">
                  <c:v>3.5</c:v>
                </c:pt>
                <c:pt idx="11">
                  <c:v>2.2623076923076924</c:v>
                </c:pt>
              </c:numCache>
            </c:numRef>
          </c:xVal>
          <c:yVal>
            <c:numRef>
              <c:f>Charts!$C$6:$O$6</c:f>
              <c:numCache>
                <c:formatCode>0.0</c:formatCode>
                <c:ptCount val="13"/>
                <c:pt idx="0" formatCode="0.00">
                  <c:v>2.3870514820592823</c:v>
                </c:pt>
                <c:pt idx="1">
                  <c:v>7.4008428150021066</c:v>
                </c:pt>
                <c:pt idx="2">
                  <c:v>10.54419525065963</c:v>
                </c:pt>
                <c:pt idx="3">
                  <c:v>19.173097826086956</c:v>
                </c:pt>
                <c:pt idx="4">
                  <c:v>0.1251908396946565</c:v>
                </c:pt>
                <c:pt idx="5">
                  <c:v>7.9972081218274109</c:v>
                </c:pt>
                <c:pt idx="6">
                  <c:v>0.43474320241691844</c:v>
                </c:pt>
                <c:pt idx="7">
                  <c:v>6.5198312236286924</c:v>
                </c:pt>
                <c:pt idx="8">
                  <c:v>13.9</c:v>
                </c:pt>
                <c:pt idx="9">
                  <c:v>1.8</c:v>
                </c:pt>
                <c:pt idx="10">
                  <c:v>2.1</c:v>
                </c:pt>
                <c:pt idx="11">
                  <c:v>2.4430769230769229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Charts!$C$1:$O$1</c15:f>
                <c15:dlblRangeCache>
                  <c:ptCount val="13"/>
                  <c:pt idx="0">
                    <c:v>ECB</c:v>
                  </c:pt>
                  <c:pt idx="1">
                    <c:v>DE</c:v>
                  </c:pt>
                  <c:pt idx="2">
                    <c:v>FR</c:v>
                  </c:pt>
                  <c:pt idx="3">
                    <c:v>IT</c:v>
                  </c:pt>
                  <c:pt idx="4">
                    <c:v>ES</c:v>
                  </c:pt>
                  <c:pt idx="5">
                    <c:v>NL</c:v>
                  </c:pt>
                  <c:pt idx="6">
                    <c:v>BE</c:v>
                  </c:pt>
                  <c:pt idx="7">
                    <c:v>AT</c:v>
                  </c:pt>
                  <c:pt idx="8">
                    <c:v>PT</c:v>
                  </c:pt>
                  <c:pt idx="9">
                    <c:v>GR</c:v>
                  </c:pt>
                  <c:pt idx="10">
                    <c:v>IE</c:v>
                  </c:pt>
                  <c:pt idx="11">
                    <c:v>FI</c:v>
                  </c:pt>
                  <c:pt idx="12">
                    <c:v>SK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B286-48EB-BA15-475C33F20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58639"/>
        <c:axId val="1066960559"/>
      </c:scatterChart>
      <c:valAx>
        <c:axId val="1066958639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Reported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60559"/>
        <c:crosses val="autoZero"/>
        <c:crossBetween val="midCat"/>
        <c:majorUnit val="0.5"/>
      </c:valAx>
      <c:valAx>
        <c:axId val="1066960559"/>
        <c:scaling>
          <c:orientation val="minMax"/>
          <c:max val="20"/>
          <c:min val="-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MTM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3175"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58639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 baseline="0"/>
              <a:t> Leverage Ratios at </a:t>
            </a:r>
            <a:r>
              <a:rPr lang="en-IE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4 Big Central Banks 2024</a:t>
            </a:r>
            <a:endParaRPr lang="en-IE" sz="120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Reported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(Charts!$R$1:$T$1,Charts!$V$1)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 </c:v>
                </c:pt>
                <c:pt idx="3">
                  <c:v>Eurosystem</c:v>
                </c:pt>
              </c:strCache>
            </c:strRef>
          </c:cat>
          <c:val>
            <c:numRef>
              <c:f>(Charts!$R$5:$T$5,Charts!$V$5)</c:f>
              <c:numCache>
                <c:formatCode>0.0</c:formatCode>
                <c:ptCount val="4"/>
                <c:pt idx="0">
                  <c:v>16.781381733021078</c:v>
                </c:pt>
                <c:pt idx="1">
                  <c:v>-4.3</c:v>
                </c:pt>
                <c:pt idx="2">
                  <c:v>-2.4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70-4BC0-A365-09A7D8083AE6}"/>
            </c:ext>
          </c:extLst>
        </c:ser>
        <c:ser>
          <c:idx val="1"/>
          <c:order val="1"/>
          <c:tx>
            <c:v>MTM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(Charts!$R$1:$T$1,Charts!$V$1)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 </c:v>
                </c:pt>
                <c:pt idx="3">
                  <c:v>Eurosystem</c:v>
                </c:pt>
              </c:strCache>
            </c:strRef>
          </c:cat>
          <c:val>
            <c:numRef>
              <c:f>(Charts!$R$6:$T$6,Charts!$V$6)</c:f>
              <c:numCache>
                <c:formatCode>0.0</c:formatCode>
                <c:ptCount val="4"/>
                <c:pt idx="0">
                  <c:v>16.781381733021078</c:v>
                </c:pt>
                <c:pt idx="1">
                  <c:v>-23.1</c:v>
                </c:pt>
                <c:pt idx="2">
                  <c:v>-17.399999999999999</c:v>
                </c:pt>
                <c:pt idx="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70-4BC0-A365-09A7D8083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841792"/>
        <c:axId val="503839872"/>
      </c:barChart>
      <c:catAx>
        <c:axId val="50384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39872"/>
        <c:crosses val="autoZero"/>
        <c:auto val="1"/>
        <c:lblAlgn val="ctr"/>
        <c:lblOffset val="100"/>
        <c:noMultiLvlLbl val="0"/>
      </c:catAx>
      <c:valAx>
        <c:axId val="503839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4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 baseline="0"/>
              <a:t> Leverage Ratios at </a:t>
            </a:r>
            <a:r>
              <a:rPr lang="en-IE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4 Big Central Banks 2024</a:t>
            </a:r>
            <a:endParaRPr lang="en-IE" sz="120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Reported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Charts!$AH$1:$AK$1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</c:v>
                </c:pt>
                <c:pt idx="3">
                  <c:v>Eurosystem</c:v>
                </c:pt>
              </c:strCache>
            </c:strRef>
          </c:cat>
          <c:val>
            <c:numRef>
              <c:f>(Charts!$R$5:$T$5,Charts!$V$5)</c:f>
              <c:numCache>
                <c:formatCode>0.0</c:formatCode>
                <c:ptCount val="4"/>
                <c:pt idx="0">
                  <c:v>16.781381733021078</c:v>
                </c:pt>
                <c:pt idx="1">
                  <c:v>-4.3</c:v>
                </c:pt>
                <c:pt idx="2">
                  <c:v>-2.4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E-44EF-BEED-ECFB460B2E64}"/>
            </c:ext>
          </c:extLst>
        </c:ser>
        <c:ser>
          <c:idx val="1"/>
          <c:order val="1"/>
          <c:tx>
            <c:v>MTM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Charts!$AH$1:$AK$1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</c:v>
                </c:pt>
                <c:pt idx="3">
                  <c:v>Eurosystem</c:v>
                </c:pt>
              </c:strCache>
            </c:strRef>
          </c:cat>
          <c:val>
            <c:numRef>
              <c:f>(Charts!$R$6:$T$6,Charts!$V$6)</c:f>
              <c:numCache>
                <c:formatCode>0.0</c:formatCode>
                <c:ptCount val="4"/>
                <c:pt idx="0">
                  <c:v>16.781381733021078</c:v>
                </c:pt>
                <c:pt idx="1">
                  <c:v>-23.1</c:v>
                </c:pt>
                <c:pt idx="2">
                  <c:v>-17.399999999999999</c:v>
                </c:pt>
                <c:pt idx="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E-44EF-BEED-ECFB460B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3841792"/>
        <c:axId val="503839872"/>
      </c:barChart>
      <c:lineChart>
        <c:grouping val="stacked"/>
        <c:varyColors val="0"/>
        <c:ser>
          <c:idx val="2"/>
          <c:order val="2"/>
          <c:tx>
            <c:v>MTM capital as % GDP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88900">
                <a:solidFill>
                  <a:schemeClr val="accent3"/>
                </a:solidFill>
              </a:ln>
              <a:effectLst/>
            </c:spPr>
          </c:marker>
          <c:cat>
            <c:strRef>
              <c:f>Charts!$AH$1:$AK$1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</c:v>
                </c:pt>
                <c:pt idx="3">
                  <c:v>Eurosystem</c:v>
                </c:pt>
              </c:strCache>
            </c:strRef>
          </c:cat>
          <c:val>
            <c:numRef>
              <c:f>Charts!$AH$3:$AK$3</c:f>
              <c:numCache>
                <c:formatCode>General</c:formatCode>
                <c:ptCount val="4"/>
                <c:pt idx="0">
                  <c:v>17.37</c:v>
                </c:pt>
                <c:pt idx="1">
                  <c:v>-7.64</c:v>
                </c:pt>
                <c:pt idx="2">
                  <c:v>-4.22</c:v>
                </c:pt>
                <c:pt idx="3">
                  <c:v>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E-44EF-BEED-ECFB460B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841792"/>
        <c:axId val="503839872"/>
      </c:lineChart>
      <c:catAx>
        <c:axId val="50384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39872"/>
        <c:crosses val="autoZero"/>
        <c:auto val="1"/>
        <c:lblAlgn val="ctr"/>
        <c:lblOffset val="100"/>
        <c:noMultiLvlLbl val="0"/>
      </c:catAx>
      <c:valAx>
        <c:axId val="503839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4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Swiss National Bank: Annual Profit and Dividends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Profit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'SNB Income statement'!$B$3:$S$3</c:f>
              <c:numCache>
                <c:formatCode>General</c:formatCode>
                <c:ptCount val="18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  <c:pt idx="10">
                  <c:v>2014</c:v>
                </c:pt>
                <c:pt idx="11">
                  <c:v>2013</c:v>
                </c:pt>
                <c:pt idx="12">
                  <c:v>2012</c:v>
                </c:pt>
                <c:pt idx="13">
                  <c:v>2011</c:v>
                </c:pt>
                <c:pt idx="14">
                  <c:v>2010</c:v>
                </c:pt>
                <c:pt idx="15">
                  <c:v>2009</c:v>
                </c:pt>
                <c:pt idx="16">
                  <c:v>2008</c:v>
                </c:pt>
                <c:pt idx="17">
                  <c:v>2007</c:v>
                </c:pt>
              </c:numCache>
            </c:numRef>
          </c:cat>
          <c:val>
            <c:numRef>
              <c:f>'SNB Income statement'!$B$4:$S$4</c:f>
              <c:numCache>
                <c:formatCode>General</c:formatCode>
                <c:ptCount val="18"/>
                <c:pt idx="0">
                  <c:v>80729</c:v>
                </c:pt>
                <c:pt idx="1">
                  <c:v>-3184</c:v>
                </c:pt>
                <c:pt idx="2">
                  <c:v>-132480</c:v>
                </c:pt>
                <c:pt idx="3">
                  <c:v>26300</c:v>
                </c:pt>
                <c:pt idx="4">
                  <c:v>20869</c:v>
                </c:pt>
                <c:pt idx="5">
                  <c:v>48852</c:v>
                </c:pt>
                <c:pt idx="6">
                  <c:v>-14934</c:v>
                </c:pt>
                <c:pt idx="7">
                  <c:v>54372</c:v>
                </c:pt>
                <c:pt idx="8">
                  <c:v>24476</c:v>
                </c:pt>
                <c:pt idx="9">
                  <c:v>-23251</c:v>
                </c:pt>
                <c:pt idx="10">
                  <c:v>38844</c:v>
                </c:pt>
                <c:pt idx="11">
                  <c:v>-8743</c:v>
                </c:pt>
                <c:pt idx="12">
                  <c:v>5956</c:v>
                </c:pt>
                <c:pt idx="13">
                  <c:v>13029</c:v>
                </c:pt>
                <c:pt idx="14">
                  <c:v>-20807</c:v>
                </c:pt>
                <c:pt idx="15">
                  <c:v>9955</c:v>
                </c:pt>
                <c:pt idx="16">
                  <c:v>-4729</c:v>
                </c:pt>
                <c:pt idx="17">
                  <c:v>7996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75-4544-804A-693737BE1853}"/>
            </c:ext>
          </c:extLst>
        </c:ser>
        <c:ser>
          <c:idx val="1"/>
          <c:order val="1"/>
          <c:tx>
            <c:v>Dividends paid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'SNB Income statement'!$B$3:$S$3</c:f>
              <c:numCache>
                <c:formatCode>General</c:formatCode>
                <c:ptCount val="18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  <c:pt idx="10">
                  <c:v>2014</c:v>
                </c:pt>
                <c:pt idx="11">
                  <c:v>2013</c:v>
                </c:pt>
                <c:pt idx="12">
                  <c:v>2012</c:v>
                </c:pt>
                <c:pt idx="13">
                  <c:v>2011</c:v>
                </c:pt>
                <c:pt idx="14">
                  <c:v>2010</c:v>
                </c:pt>
                <c:pt idx="15">
                  <c:v>2009</c:v>
                </c:pt>
                <c:pt idx="16">
                  <c:v>2008</c:v>
                </c:pt>
                <c:pt idx="17">
                  <c:v>2007</c:v>
                </c:pt>
              </c:numCache>
            </c:numRef>
          </c:cat>
          <c:val>
            <c:numRef>
              <c:f>'SNB Income statement'!$B$5:$S$5</c:f>
              <c:numCache>
                <c:formatCode>General</c:formatCode>
                <c:ptCount val="18"/>
                <c:pt idx="0">
                  <c:v>3000</c:v>
                </c:pt>
                <c:pt idx="1">
                  <c:v>0</c:v>
                </c:pt>
                <c:pt idx="2">
                  <c:v>0</c:v>
                </c:pt>
                <c:pt idx="3">
                  <c:v>6000</c:v>
                </c:pt>
                <c:pt idx="4">
                  <c:v>6000</c:v>
                </c:pt>
                <c:pt idx="5">
                  <c:v>4000</c:v>
                </c:pt>
                <c:pt idx="6">
                  <c:v>2000</c:v>
                </c:pt>
                <c:pt idx="7">
                  <c:v>2000</c:v>
                </c:pt>
                <c:pt idx="8">
                  <c:v>1730</c:v>
                </c:pt>
                <c:pt idx="9">
                  <c:v>1000</c:v>
                </c:pt>
                <c:pt idx="10">
                  <c:v>2000</c:v>
                </c:pt>
                <c:pt idx="11">
                  <c:v>0</c:v>
                </c:pt>
                <c:pt idx="12">
                  <c:v>1000</c:v>
                </c:pt>
                <c:pt idx="13">
                  <c:v>1000</c:v>
                </c:pt>
                <c:pt idx="14">
                  <c:v>2500</c:v>
                </c:pt>
                <c:pt idx="15">
                  <c:v>2500</c:v>
                </c:pt>
                <c:pt idx="16">
                  <c:v>2500</c:v>
                </c:pt>
                <c:pt idx="17">
                  <c:v>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75-4544-804A-693737BE1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361599"/>
        <c:axId val="487362079"/>
      </c:lineChart>
      <c:catAx>
        <c:axId val="487361599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362079"/>
        <c:crosses val="autoZero"/>
        <c:auto val="1"/>
        <c:lblAlgn val="ctr"/>
        <c:lblOffset val="100"/>
        <c:noMultiLvlLbl val="0"/>
      </c:catAx>
      <c:valAx>
        <c:axId val="487362079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CHF billions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361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14</xdr:row>
      <xdr:rowOff>45720</xdr:rowOff>
    </xdr:from>
    <xdr:to>
      <xdr:col>17</xdr:col>
      <xdr:colOff>3810</xdr:colOff>
      <xdr:row>37</xdr:row>
      <xdr:rowOff>125730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28200F7-E5DE-4B67-89C8-47A6F02CBF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259080</xdr:colOff>
      <xdr:row>14</xdr:row>
      <xdr:rowOff>22860</xdr:rowOff>
    </xdr:from>
    <xdr:to>
      <xdr:col>9</xdr:col>
      <xdr:colOff>350520</xdr:colOff>
      <xdr:row>37</xdr:row>
      <xdr:rowOff>102870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6F7D618-D48E-437B-BE1A-80E42EC0B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556260</xdr:colOff>
      <xdr:row>11</xdr:row>
      <xdr:rowOff>110490</xdr:rowOff>
    </xdr:from>
    <xdr:to>
      <xdr:col>30</xdr:col>
      <xdr:colOff>20955</xdr:colOff>
      <xdr:row>26</xdr:row>
      <xdr:rowOff>129540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A5BE815-D7CC-4E15-AF69-A043CC3C50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556260</xdr:colOff>
      <xdr:row>27</xdr:row>
      <xdr:rowOff>110490</xdr:rowOff>
    </xdr:from>
    <xdr:to>
      <xdr:col>30</xdr:col>
      <xdr:colOff>20955</xdr:colOff>
      <xdr:row>42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936A98-46CF-46F4-93F1-CC06041F6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1999297</xdr:colOff>
      <xdr:row>6</xdr:row>
      <xdr:rowOff>66675</xdr:rowOff>
    </xdr:from>
    <xdr:to>
      <xdr:col>8</xdr:col>
      <xdr:colOff>16192</xdr:colOff>
      <xdr:row>21</xdr:row>
      <xdr:rowOff>97155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EA0A4E-0532-C340-4CFC-870EB4F89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3F607-DA0C-4E1A-A546-A6C630FDF9D6}">
  <dimension ref="G1:DM57"/>
  <sheetViews>
    <sheetView tabSelected="1" topLeftCell="G1" workbookViewId="0">
      <pane xSplit="1" topLeftCell="AW1" activePane="topRight" state="frozen"/>
      <selection activeCell="G1" sqref="G1"/>
      <selection pane="topRight" activeCell="BL15" sqref="BL15"/>
    </sheetView>
  </sheetViews>
  <sheetFormatPr defaultRowHeight="14.5" x14ac:dyDescent="0.35"/>
  <cols>
    <col min="7" max="7" width="19.453125" customWidth="1"/>
    <col min="8" max="8" width="9.6328125" customWidth="1"/>
    <col min="9" max="9" width="9.54296875" customWidth="1"/>
    <col min="10" max="10" width="10.54296875" style="12" customWidth="1"/>
    <col min="11" max="12" width="10.54296875" customWidth="1"/>
    <col min="13" max="13" width="10.54296875" style="12" customWidth="1"/>
    <col min="14" max="14" width="10.54296875" customWidth="1"/>
    <col min="16" max="16" width="8.81640625" style="12"/>
    <col min="19" max="19" width="10.1796875" style="12" bestFit="1" customWidth="1"/>
    <col min="20" max="20" width="9.1796875" customWidth="1"/>
    <col min="22" max="22" width="8.81640625" style="12"/>
    <col min="25" max="25" width="8.81640625" style="12"/>
    <col min="28" max="28" width="8.81640625" style="12"/>
    <col min="31" max="31" width="8.81640625" style="12"/>
    <col min="34" max="34" width="8.81640625" style="12"/>
    <col min="37" max="37" width="8.81640625" style="12"/>
    <col min="40" max="40" width="8.81640625" style="12"/>
    <col min="41" max="41" width="9.08984375" customWidth="1"/>
    <col min="43" max="43" width="8.81640625" style="12"/>
    <col min="46" max="46" width="8.81640625" style="12"/>
    <col min="49" max="49" width="8.81640625" style="12"/>
    <col min="55" max="55" width="8.81640625" style="12"/>
    <col min="58" max="58" width="8.81640625" style="12"/>
    <col min="61" max="61" width="8.81640625" style="12"/>
    <col min="64" max="64" width="8.81640625" style="12"/>
    <col min="73" max="73" width="8.81640625" style="12"/>
    <col min="77" max="77" width="8.81640625" style="12"/>
    <col min="80" max="80" width="8.81640625" style="12"/>
    <col min="82" max="82" width="11.26953125" bestFit="1" customWidth="1"/>
    <col min="83" max="83" width="9.26953125" style="12" customWidth="1"/>
    <col min="84" max="84" width="9.26953125" customWidth="1"/>
    <col min="85" max="85" width="9.26953125" bestFit="1" customWidth="1"/>
    <col min="86" max="86" width="8.90625" bestFit="1" customWidth="1"/>
    <col min="87" max="87" width="9.1796875" style="12" bestFit="1" customWidth="1"/>
    <col min="90" max="90" width="8.81640625" style="12"/>
    <col min="91" max="91" width="10.6328125" bestFit="1" customWidth="1"/>
    <col min="93" max="93" width="8.81640625" style="12"/>
    <col min="96" max="96" width="8.81640625" style="12"/>
    <col min="97" max="98" width="10.26953125" bestFit="1" customWidth="1"/>
    <col min="99" max="99" width="10.26953125" style="12" bestFit="1" customWidth="1"/>
    <col min="102" max="102" width="8.81640625" style="12"/>
    <col min="105" max="105" width="8.81640625" style="12"/>
    <col min="108" max="108" width="8.81640625" style="12"/>
    <col min="109" max="110" width="10.1796875" bestFit="1" customWidth="1"/>
    <col min="111" max="111" width="10.1796875" style="12" bestFit="1" customWidth="1"/>
    <col min="112" max="113" width="10.26953125" bestFit="1" customWidth="1"/>
    <col min="114" max="114" width="10.26953125" style="12" bestFit="1" customWidth="1"/>
    <col min="117" max="117" width="8.81640625" style="12"/>
  </cols>
  <sheetData>
    <row r="1" spans="7:117" x14ac:dyDescent="0.35">
      <c r="BE1" t="s">
        <v>13</v>
      </c>
      <c r="BF1" s="12">
        <v>11.12</v>
      </c>
      <c r="BH1" t="s">
        <v>16</v>
      </c>
      <c r="BI1" s="12">
        <f>1/0.1341</f>
        <v>7.4571215510812827</v>
      </c>
      <c r="BK1" t="s">
        <v>88</v>
      </c>
      <c r="BN1" t="s">
        <v>83</v>
      </c>
      <c r="BO1" s="12"/>
      <c r="BQ1" t="s">
        <v>89</v>
      </c>
      <c r="BR1" s="12"/>
      <c r="BT1" t="s">
        <v>86</v>
      </c>
      <c r="BW1" t="s">
        <v>14</v>
      </c>
      <c r="CA1" t="s">
        <v>17</v>
      </c>
      <c r="CD1" t="s">
        <v>18</v>
      </c>
      <c r="CH1" t="s">
        <v>60</v>
      </c>
      <c r="CK1" t="s">
        <v>68</v>
      </c>
      <c r="CN1" t="s">
        <v>69</v>
      </c>
      <c r="CQ1" t="s">
        <v>74</v>
      </c>
      <c r="CT1" t="s">
        <v>91</v>
      </c>
      <c r="CW1" t="s">
        <v>79</v>
      </c>
      <c r="CZ1" t="s">
        <v>90</v>
      </c>
      <c r="DC1" t="s">
        <v>93</v>
      </c>
      <c r="DF1" t="s">
        <v>94</v>
      </c>
      <c r="DI1" t="s">
        <v>96</v>
      </c>
      <c r="DL1" t="s">
        <v>98</v>
      </c>
    </row>
    <row r="2" spans="7:117" x14ac:dyDescent="0.35">
      <c r="I2" t="s">
        <v>35</v>
      </c>
      <c r="L2" t="s">
        <v>130</v>
      </c>
      <c r="O2" t="s">
        <v>0</v>
      </c>
      <c r="R2" t="s">
        <v>1</v>
      </c>
      <c r="U2" t="s">
        <v>2</v>
      </c>
      <c r="X2" t="s">
        <v>6</v>
      </c>
      <c r="AA2" t="s">
        <v>7</v>
      </c>
      <c r="AD2" t="s">
        <v>9</v>
      </c>
      <c r="AG2" t="s">
        <v>8</v>
      </c>
      <c r="AJ2" t="s">
        <v>37</v>
      </c>
      <c r="AM2" t="s">
        <v>20</v>
      </c>
      <c r="AP2" t="s">
        <v>21</v>
      </c>
      <c r="AS2" t="s">
        <v>25</v>
      </c>
      <c r="AV2" t="s">
        <v>10</v>
      </c>
      <c r="AY2" t="s">
        <v>50</v>
      </c>
      <c r="AZ2" s="12"/>
      <c r="BB2" t="s">
        <v>51</v>
      </c>
      <c r="BE2" t="s">
        <v>12</v>
      </c>
      <c r="BH2" t="s">
        <v>11</v>
      </c>
      <c r="BK2" t="s">
        <v>87</v>
      </c>
      <c r="BN2" t="s">
        <v>82</v>
      </c>
      <c r="BO2" s="12"/>
      <c r="BQ2" t="s">
        <v>84</v>
      </c>
      <c r="BR2" s="12"/>
      <c r="BT2" t="s">
        <v>85</v>
      </c>
      <c r="BW2" t="s">
        <v>15</v>
      </c>
      <c r="BZ2" t="s">
        <v>129</v>
      </c>
      <c r="CA2" t="s">
        <v>56</v>
      </c>
      <c r="CD2" t="s">
        <v>19</v>
      </c>
      <c r="CG2" t="s">
        <v>59</v>
      </c>
      <c r="CH2" t="s">
        <v>58</v>
      </c>
      <c r="CK2" t="s">
        <v>64</v>
      </c>
      <c r="CM2" t="s">
        <v>71</v>
      </c>
      <c r="CN2" t="s">
        <v>75</v>
      </c>
      <c r="CP2" t="s">
        <v>71</v>
      </c>
      <c r="CQ2" t="s">
        <v>76</v>
      </c>
      <c r="CT2" t="s">
        <v>78</v>
      </c>
      <c r="CW2" t="s">
        <v>80</v>
      </c>
      <c r="CZ2" t="s">
        <v>81</v>
      </c>
      <c r="DC2" t="s">
        <v>92</v>
      </c>
      <c r="DF2" t="s">
        <v>95</v>
      </c>
      <c r="DI2" t="s">
        <v>97</v>
      </c>
      <c r="DL2" t="s">
        <v>99</v>
      </c>
    </row>
    <row r="3" spans="7:117" x14ac:dyDescent="0.35">
      <c r="H3" s="11" t="s">
        <v>38</v>
      </c>
      <c r="I3" s="1">
        <v>2023</v>
      </c>
      <c r="J3" s="13">
        <v>2022</v>
      </c>
      <c r="K3" s="1">
        <v>2024</v>
      </c>
      <c r="L3" s="1">
        <v>2023</v>
      </c>
      <c r="M3" s="13">
        <v>2022</v>
      </c>
      <c r="N3" s="1">
        <v>2024</v>
      </c>
      <c r="O3" s="1">
        <v>2023</v>
      </c>
      <c r="P3" s="13">
        <v>2022</v>
      </c>
      <c r="Q3" s="1">
        <v>2024</v>
      </c>
      <c r="R3" s="1">
        <v>2023</v>
      </c>
      <c r="S3" s="13">
        <v>2022</v>
      </c>
      <c r="T3" s="1">
        <v>2024</v>
      </c>
      <c r="U3" s="1">
        <v>2023</v>
      </c>
      <c r="V3" s="13">
        <v>2022</v>
      </c>
      <c r="W3" s="1">
        <v>2024</v>
      </c>
      <c r="X3" s="1">
        <v>2023</v>
      </c>
      <c r="Y3" s="13">
        <v>2022</v>
      </c>
      <c r="Z3" s="1">
        <v>2024</v>
      </c>
      <c r="AA3" s="1">
        <v>2023</v>
      </c>
      <c r="AB3" s="13">
        <v>2022</v>
      </c>
      <c r="AC3" s="1">
        <v>2024</v>
      </c>
      <c r="AD3" s="1">
        <v>2023</v>
      </c>
      <c r="AE3" s="13">
        <v>2022</v>
      </c>
      <c r="AF3" s="1">
        <v>2024</v>
      </c>
      <c r="AG3" s="1">
        <v>2023</v>
      </c>
      <c r="AH3" s="13">
        <v>2022</v>
      </c>
      <c r="AI3" s="1">
        <v>2024</v>
      </c>
      <c r="AJ3" s="1">
        <v>2023</v>
      </c>
      <c r="AK3" s="13">
        <v>2022</v>
      </c>
      <c r="AL3" s="1">
        <v>2024</v>
      </c>
      <c r="AM3" s="1">
        <v>2023</v>
      </c>
      <c r="AN3" s="13">
        <v>2022</v>
      </c>
      <c r="AO3" s="1">
        <v>2024</v>
      </c>
      <c r="AP3" s="1">
        <v>2023</v>
      </c>
      <c r="AQ3" s="13">
        <v>2022</v>
      </c>
      <c r="AR3" s="1">
        <v>2024</v>
      </c>
      <c r="AS3" s="1">
        <v>2023</v>
      </c>
      <c r="AT3" s="13">
        <v>2022</v>
      </c>
      <c r="AU3" s="1">
        <v>2024</v>
      </c>
      <c r="AV3" s="1">
        <v>2023</v>
      </c>
      <c r="AW3" s="13">
        <v>2022</v>
      </c>
      <c r="AX3" s="1">
        <v>2024</v>
      </c>
      <c r="AY3" s="1">
        <v>2023</v>
      </c>
      <c r="AZ3" s="13">
        <v>2022</v>
      </c>
      <c r="BA3" s="1">
        <v>2024</v>
      </c>
      <c r="BB3" s="1">
        <v>2023</v>
      </c>
      <c r="BC3" s="13">
        <v>2022</v>
      </c>
      <c r="BD3" s="1">
        <v>2024</v>
      </c>
      <c r="BE3" s="1">
        <v>2023</v>
      </c>
      <c r="BF3" s="13">
        <v>2022</v>
      </c>
      <c r="BG3" s="1">
        <v>2024</v>
      </c>
      <c r="BH3" s="1">
        <v>2023</v>
      </c>
      <c r="BI3" s="13">
        <v>2022</v>
      </c>
      <c r="BJ3" s="1">
        <v>2024</v>
      </c>
      <c r="BK3" s="1">
        <v>2023</v>
      </c>
      <c r="BL3" s="13">
        <v>2022</v>
      </c>
      <c r="BM3" s="1">
        <v>2024</v>
      </c>
      <c r="BN3" s="1">
        <v>2023</v>
      </c>
      <c r="BO3" s="13">
        <v>2022</v>
      </c>
      <c r="BP3" s="1">
        <v>2024</v>
      </c>
      <c r="BQ3" s="1">
        <v>2023</v>
      </c>
      <c r="BR3" s="13">
        <v>2022</v>
      </c>
      <c r="BS3" s="1">
        <v>2024</v>
      </c>
      <c r="BT3" s="1">
        <v>2023</v>
      </c>
      <c r="BU3" s="13">
        <v>2022</v>
      </c>
      <c r="BV3" s="1">
        <v>2024</v>
      </c>
      <c r="BW3" s="1">
        <v>2023</v>
      </c>
      <c r="BX3" s="1">
        <v>2022</v>
      </c>
      <c r="BY3" s="13">
        <v>2021</v>
      </c>
      <c r="BZ3" s="1">
        <v>2024</v>
      </c>
      <c r="CA3" s="1">
        <v>2023</v>
      </c>
      <c r="CB3" s="13">
        <v>2022</v>
      </c>
      <c r="CC3" s="1">
        <v>2024</v>
      </c>
      <c r="CD3" s="1">
        <v>2023</v>
      </c>
      <c r="CE3" s="13">
        <v>2022</v>
      </c>
      <c r="CF3" s="1">
        <v>2025</v>
      </c>
      <c r="CG3" s="1">
        <v>2024</v>
      </c>
      <c r="CH3" s="1">
        <v>2023</v>
      </c>
      <c r="CI3" s="13">
        <v>2022</v>
      </c>
      <c r="CJ3" s="1">
        <v>2024</v>
      </c>
      <c r="CK3" s="1">
        <v>2023</v>
      </c>
      <c r="CL3" s="13">
        <v>2022</v>
      </c>
      <c r="CM3" s="1">
        <v>2024</v>
      </c>
      <c r="CN3" s="1">
        <v>2023</v>
      </c>
      <c r="CO3" s="13">
        <v>2022</v>
      </c>
      <c r="CP3" s="1">
        <v>2024</v>
      </c>
      <c r="CQ3" s="1">
        <v>2023</v>
      </c>
      <c r="CR3" s="13">
        <v>2022</v>
      </c>
      <c r="CS3" s="1">
        <v>2024</v>
      </c>
      <c r="CT3" s="1">
        <v>2023</v>
      </c>
      <c r="CU3" s="13">
        <v>2022</v>
      </c>
      <c r="CV3" s="1">
        <v>2024</v>
      </c>
      <c r="CW3" s="1">
        <v>2023</v>
      </c>
      <c r="CX3" s="13">
        <v>2022</v>
      </c>
      <c r="CY3" s="1">
        <v>2024</v>
      </c>
      <c r="CZ3" s="1">
        <v>2023</v>
      </c>
      <c r="DA3" s="13">
        <v>2022</v>
      </c>
      <c r="DB3" s="1">
        <v>2024</v>
      </c>
      <c r="DC3" s="1">
        <v>2023</v>
      </c>
      <c r="DD3" s="13">
        <v>2022</v>
      </c>
      <c r="DE3" s="1">
        <v>2024</v>
      </c>
      <c r="DF3" s="1">
        <v>2023</v>
      </c>
      <c r="DG3" s="13">
        <v>2022</v>
      </c>
      <c r="DH3" s="1">
        <v>2024</v>
      </c>
      <c r="DI3" s="1">
        <v>2023</v>
      </c>
      <c r="DJ3" s="13">
        <v>2022</v>
      </c>
      <c r="DK3" s="1">
        <v>2024</v>
      </c>
      <c r="DL3" s="1">
        <v>2023</v>
      </c>
      <c r="DM3" s="13">
        <v>2022</v>
      </c>
    </row>
    <row r="4" spans="7:117" x14ac:dyDescent="0.35">
      <c r="G4" t="s">
        <v>57</v>
      </c>
      <c r="K4" s="19">
        <f t="shared" ref="K4:M9" si="0">N4+Q4+T4+W4+Z4+AC4+AF4+AL4+AO4+AI4+AR4+AU4</f>
        <v>71457</v>
      </c>
      <c r="L4" s="19">
        <f t="shared" si="0"/>
        <v>92279</v>
      </c>
      <c r="M4" s="19">
        <f t="shared" si="0"/>
        <v>144688</v>
      </c>
      <c r="N4">
        <v>0</v>
      </c>
      <c r="O4">
        <v>0</v>
      </c>
      <c r="P4" s="12">
        <v>6636</v>
      </c>
      <c r="Q4">
        <v>11695</v>
      </c>
      <c r="R4">
        <v>11233</v>
      </c>
      <c r="S4" s="12">
        <v>29248</v>
      </c>
      <c r="T4" s="5">
        <v>75</v>
      </c>
      <c r="U4">
        <v>3996</v>
      </c>
      <c r="V4" s="12">
        <v>16441</v>
      </c>
      <c r="W4">
        <v>23813</v>
      </c>
      <c r="X4">
        <v>29614</v>
      </c>
      <c r="Y4" s="12">
        <v>35214</v>
      </c>
      <c r="Z4">
        <v>19418</v>
      </c>
      <c r="AA4">
        <v>26974</v>
      </c>
      <c r="AB4" s="12">
        <v>33593</v>
      </c>
      <c r="AC4">
        <v>0</v>
      </c>
      <c r="AD4">
        <v>0</v>
      </c>
      <c r="AE4" s="12">
        <v>2378</v>
      </c>
      <c r="AF4">
        <v>0</v>
      </c>
      <c r="AG4">
        <v>1551</v>
      </c>
      <c r="AH4" s="12">
        <v>0</v>
      </c>
      <c r="AI4">
        <v>4530</v>
      </c>
      <c r="AJ4">
        <v>4576</v>
      </c>
      <c r="AK4" s="12">
        <v>4702</v>
      </c>
      <c r="AL4">
        <v>1716</v>
      </c>
      <c r="AM4">
        <v>2858</v>
      </c>
      <c r="AN4" s="12">
        <v>3911</v>
      </c>
      <c r="AO4">
        <v>4556</v>
      </c>
      <c r="AP4">
        <v>4468</v>
      </c>
      <c r="AQ4" s="12">
        <v>4466</v>
      </c>
      <c r="AR4">
        <v>2075</v>
      </c>
      <c r="AS4">
        <v>2872</v>
      </c>
      <c r="AT4" s="12">
        <v>3004</v>
      </c>
      <c r="AU4">
        <v>3579</v>
      </c>
      <c r="AV4">
        <v>4137</v>
      </c>
      <c r="AW4" s="12">
        <v>5095</v>
      </c>
      <c r="AY4">
        <v>552</v>
      </c>
      <c r="AZ4" s="12">
        <v>918</v>
      </c>
      <c r="BB4">
        <v>715</v>
      </c>
      <c r="BC4" s="12">
        <v>735</v>
      </c>
      <c r="BD4">
        <v>563</v>
      </c>
      <c r="BE4">
        <v>426</v>
      </c>
      <c r="BF4" s="12">
        <v>423</v>
      </c>
      <c r="BG4">
        <v>0</v>
      </c>
      <c r="BH4">
        <v>0</v>
      </c>
      <c r="BI4" s="12">
        <v>0</v>
      </c>
      <c r="BN4">
        <v>0.2</v>
      </c>
      <c r="BO4" s="12">
        <v>15.3</v>
      </c>
      <c r="BQ4">
        <v>0.9</v>
      </c>
      <c r="BR4" s="12">
        <v>0.54</v>
      </c>
      <c r="BS4">
        <v>5145</v>
      </c>
      <c r="BT4">
        <v>4570</v>
      </c>
      <c r="BU4" s="12">
        <v>4523</v>
      </c>
      <c r="BZ4">
        <v>0</v>
      </c>
      <c r="CA4">
        <v>0</v>
      </c>
      <c r="CB4" s="12">
        <v>0</v>
      </c>
      <c r="CC4">
        <v>0</v>
      </c>
      <c r="CD4">
        <v>0</v>
      </c>
      <c r="CE4" s="12">
        <v>0</v>
      </c>
      <c r="CF4">
        <v>10114</v>
      </c>
      <c r="CG4">
        <v>9903</v>
      </c>
      <c r="CH4">
        <v>8329</v>
      </c>
      <c r="CI4" s="12">
        <v>7493</v>
      </c>
      <c r="CK4">
        <v>0</v>
      </c>
      <c r="CL4" s="12">
        <v>0</v>
      </c>
      <c r="CM4" s="12">
        <v>0</v>
      </c>
      <c r="CN4" s="12">
        <v>0</v>
      </c>
      <c r="CO4" s="12">
        <v>0</v>
      </c>
      <c r="CP4">
        <v>0</v>
      </c>
      <c r="CQ4">
        <v>0</v>
      </c>
      <c r="CR4" s="12">
        <v>0</v>
      </c>
      <c r="CY4">
        <v>22</v>
      </c>
      <c r="CZ4">
        <v>20</v>
      </c>
      <c r="DA4" s="12">
        <v>19</v>
      </c>
    </row>
    <row r="5" spans="7:117" x14ac:dyDescent="0.35">
      <c r="G5" t="s">
        <v>3</v>
      </c>
      <c r="I5">
        <v>635144</v>
      </c>
      <c r="J5" s="12">
        <v>588053</v>
      </c>
      <c r="K5" s="19">
        <f t="shared" si="0"/>
        <v>882259</v>
      </c>
      <c r="L5" s="19">
        <f t="shared" si="0"/>
        <v>653446</v>
      </c>
      <c r="M5" s="19">
        <f t="shared" si="0"/>
        <v>607806</v>
      </c>
      <c r="N5">
        <v>50653</v>
      </c>
      <c r="O5">
        <v>37099</v>
      </c>
      <c r="P5" s="12">
        <v>36487</v>
      </c>
      <c r="Q5">
        <v>267285</v>
      </c>
      <c r="R5">
        <v>197145</v>
      </c>
      <c r="S5" s="16">
        <v>181712</v>
      </c>
      <c r="T5" s="6">
        <v>202674</v>
      </c>
      <c r="U5">
        <f>134216+22771</f>
        <v>156987</v>
      </c>
      <c r="V5" s="12">
        <f>126543+22771</f>
        <v>149314</v>
      </c>
      <c r="W5">
        <v>193775</v>
      </c>
      <c r="X5">
        <v>139846</v>
      </c>
      <c r="Y5" s="12">
        <v>126039</v>
      </c>
      <c r="Z5">
        <v>31587</v>
      </c>
      <c r="AA5">
        <v>22716</v>
      </c>
      <c r="AB5" s="12">
        <v>22855</v>
      </c>
      <c r="AC5">
        <v>49288</v>
      </c>
      <c r="AD5">
        <v>36321</v>
      </c>
      <c r="AE5" s="12">
        <v>32883</v>
      </c>
      <c r="AF5">
        <v>18603</v>
      </c>
      <c r="AG5">
        <v>13714</v>
      </c>
      <c r="AH5" s="12">
        <v>12492</v>
      </c>
      <c r="AI5">
        <v>22691</v>
      </c>
      <c r="AJ5">
        <v>16896</v>
      </c>
      <c r="AK5" s="12">
        <v>14999</v>
      </c>
      <c r="AL5">
        <v>28134</v>
      </c>
      <c r="AM5">
        <v>20074</v>
      </c>
      <c r="AN5" s="12">
        <v>18171</v>
      </c>
      <c r="AO5">
        <v>11242</v>
      </c>
      <c r="AP5">
        <v>8044</v>
      </c>
      <c r="AQ5" s="12">
        <v>7336</v>
      </c>
      <c r="AR5">
        <v>1475</v>
      </c>
      <c r="AS5">
        <v>876</v>
      </c>
      <c r="AT5" s="12">
        <v>1890</v>
      </c>
      <c r="AU5">
        <v>4852</v>
      </c>
      <c r="AV5">
        <v>3728</v>
      </c>
      <c r="AW5" s="12">
        <v>3628</v>
      </c>
      <c r="AY5">
        <v>1648</v>
      </c>
      <c r="AZ5" s="12">
        <v>1460</v>
      </c>
      <c r="BC5" s="12">
        <v>155</v>
      </c>
      <c r="BD5">
        <v>158708</v>
      </c>
      <c r="BE5">
        <v>111404</v>
      </c>
      <c r="BF5" s="12">
        <v>116563</v>
      </c>
      <c r="BG5">
        <v>0</v>
      </c>
      <c r="BH5">
        <v>0</v>
      </c>
      <c r="BI5" s="12">
        <v>0</v>
      </c>
      <c r="BN5">
        <v>35</v>
      </c>
      <c r="BO5" s="12">
        <v>50.1</v>
      </c>
      <c r="BR5" s="12"/>
      <c r="BZ5">
        <v>1272</v>
      </c>
      <c r="CA5">
        <v>1260</v>
      </c>
      <c r="CB5" s="12">
        <v>1258</v>
      </c>
      <c r="CC5">
        <v>0</v>
      </c>
      <c r="CD5">
        <v>0</v>
      </c>
      <c r="CE5" s="12">
        <v>0</v>
      </c>
      <c r="CF5">
        <f>12607-441</f>
        <v>12166</v>
      </c>
      <c r="CG5">
        <f>8935-441</f>
        <v>8494</v>
      </c>
      <c r="CH5">
        <f>7101-441</f>
        <v>6660</v>
      </c>
      <c r="CI5" s="12">
        <f>6365-441</f>
        <v>5924</v>
      </c>
      <c r="CK5">
        <v>0</v>
      </c>
      <c r="CL5" s="12">
        <v>0</v>
      </c>
      <c r="CM5" s="12">
        <v>0</v>
      </c>
      <c r="CN5" s="12">
        <v>0</v>
      </c>
      <c r="CO5" s="12">
        <v>0</v>
      </c>
      <c r="CP5">
        <v>9648</v>
      </c>
      <c r="CQ5">
        <v>8045</v>
      </c>
      <c r="CR5" s="12">
        <v>7525</v>
      </c>
      <c r="CS5">
        <v>76096</v>
      </c>
      <c r="CT5">
        <v>30542</v>
      </c>
      <c r="CU5" s="12">
        <v>23026</v>
      </c>
      <c r="CV5">
        <v>134486</v>
      </c>
      <c r="CW5">
        <v>120432</v>
      </c>
      <c r="CX5" s="12">
        <v>73684</v>
      </c>
      <c r="DH5">
        <v>128185</v>
      </c>
      <c r="DI5">
        <v>96787</v>
      </c>
      <c r="DJ5">
        <v>150832</v>
      </c>
    </row>
    <row r="6" spans="7:117" x14ac:dyDescent="0.35">
      <c r="G6" t="s">
        <v>73</v>
      </c>
      <c r="I6">
        <v>120242</v>
      </c>
      <c r="J6" s="12">
        <v>120237</v>
      </c>
      <c r="K6" s="19">
        <f t="shared" si="0"/>
        <v>29951</v>
      </c>
      <c r="L6" s="19">
        <f t="shared" si="0"/>
        <v>75543</v>
      </c>
      <c r="M6" s="19">
        <f t="shared" si="0"/>
        <v>86023</v>
      </c>
      <c r="N6">
        <f>8925-1266-7944</f>
        <v>-285</v>
      </c>
      <c r="O6">
        <f>8948-1266</f>
        <v>7682</v>
      </c>
      <c r="P6" s="12">
        <v>8880</v>
      </c>
      <c r="Q6">
        <f>2500-19153</f>
        <v>-16653</v>
      </c>
      <c r="R6">
        <v>3161</v>
      </c>
      <c r="S6" s="17">
        <v>5541</v>
      </c>
      <c r="T6" s="8">
        <f>7737-7734</f>
        <v>3</v>
      </c>
      <c r="U6">
        <v>8932</v>
      </c>
      <c r="V6" s="12">
        <v>8932</v>
      </c>
      <c r="W6">
        <v>26304</v>
      </c>
      <c r="X6">
        <v>26304</v>
      </c>
      <c r="Y6" s="12">
        <v>26304</v>
      </c>
      <c r="Z6">
        <v>1882</v>
      </c>
      <c r="AA6">
        <v>1882</v>
      </c>
      <c r="AB6" s="12">
        <v>1882</v>
      </c>
      <c r="AC6">
        <f>7434-3194</f>
        <v>4240</v>
      </c>
      <c r="AD6">
        <f>8483-1139</f>
        <v>7344</v>
      </c>
      <c r="AE6" s="12">
        <v>8483</v>
      </c>
      <c r="AF6">
        <f>3472-3679</f>
        <v>-207</v>
      </c>
      <c r="AG6">
        <f>6837-3370</f>
        <v>3467</v>
      </c>
      <c r="AH6" s="12">
        <f>7410-580</f>
        <v>6830</v>
      </c>
      <c r="AI6">
        <f>4147-4184</f>
        <v>-37</v>
      </c>
      <c r="AJ6">
        <f>4138-2062</f>
        <v>2076</v>
      </c>
      <c r="AK6" s="12">
        <v>4276</v>
      </c>
      <c r="AL6">
        <v>1947</v>
      </c>
      <c r="AM6">
        <v>2005</v>
      </c>
      <c r="AN6" s="12">
        <f>1980+297</f>
        <v>2277</v>
      </c>
      <c r="AO6">
        <v>3545</v>
      </c>
      <c r="AP6">
        <v>3545</v>
      </c>
      <c r="AQ6" s="12">
        <v>3459</v>
      </c>
      <c r="AR6">
        <v>6271</v>
      </c>
      <c r="AS6">
        <v>6204</v>
      </c>
      <c r="AT6" s="12">
        <v>6218</v>
      </c>
      <c r="AU6">
        <v>2941</v>
      </c>
      <c r="AV6">
        <v>2941</v>
      </c>
      <c r="AW6" s="12">
        <v>2941</v>
      </c>
      <c r="AY6">
        <v>358</v>
      </c>
      <c r="AZ6" s="12">
        <v>359</v>
      </c>
      <c r="BB6">
        <v>202</v>
      </c>
      <c r="BC6" s="12">
        <v>202</v>
      </c>
      <c r="BD6">
        <v>23009</v>
      </c>
      <c r="BE6">
        <f>-18182+16191</f>
        <v>-1991</v>
      </c>
      <c r="BF6" s="12">
        <f>62552-80734</f>
        <v>-18182</v>
      </c>
      <c r="BG6">
        <v>100839</v>
      </c>
      <c r="BH6">
        <v>83706</v>
      </c>
      <c r="BI6" s="12">
        <v>73131</v>
      </c>
      <c r="BJ6">
        <v>386952</v>
      </c>
      <c r="BK6">
        <v>321947</v>
      </c>
      <c r="BL6" s="12">
        <v>269520</v>
      </c>
      <c r="BN6">
        <f>1.5-48.2</f>
        <v>-46.7</v>
      </c>
      <c r="BO6" s="12">
        <f>1.5-27.4</f>
        <v>-25.9</v>
      </c>
      <c r="BQ6">
        <v>256</v>
      </c>
      <c r="BR6" s="12">
        <v>-1855</v>
      </c>
      <c r="BS6">
        <f>1400-428626+BS16</f>
        <v>-275833</v>
      </c>
      <c r="BT6">
        <f>1400-483735+BT16</f>
        <v>-427227</v>
      </c>
      <c r="BU6" s="12">
        <f>1400-75275+BU16</f>
        <v>-485730</v>
      </c>
      <c r="BV6">
        <v>143313</v>
      </c>
      <c r="BW6">
        <v>62584</v>
      </c>
      <c r="BX6">
        <v>65768</v>
      </c>
      <c r="BY6" s="12">
        <v>204249</v>
      </c>
      <c r="BZ6">
        <f>1234+2902-44549</f>
        <v>-40413</v>
      </c>
      <c r="CA6">
        <f>1224+2940-846</f>
        <v>3318</v>
      </c>
      <c r="CB6" s="12">
        <f>1215+3304</f>
        <v>4519</v>
      </c>
      <c r="CC6">
        <f>48322-215955</f>
        <v>-167633</v>
      </c>
      <c r="CD6">
        <f>51379-133318</f>
        <v>-81939</v>
      </c>
      <c r="CE6" s="12">
        <f>41799-16585</f>
        <v>25214</v>
      </c>
      <c r="CF6">
        <v>3663</v>
      </c>
      <c r="CG6">
        <v>3663</v>
      </c>
      <c r="CH6">
        <v>3548</v>
      </c>
      <c r="CI6" s="12">
        <v>3444</v>
      </c>
      <c r="CK6">
        <v>-5846</v>
      </c>
      <c r="CL6" s="12">
        <v>-97</v>
      </c>
      <c r="CM6">
        <f>4573-CM30</f>
        <v>810</v>
      </c>
      <c r="CN6">
        <f>2979-CN30</f>
        <v>-183</v>
      </c>
      <c r="CO6" s="12">
        <f>2770-CO30</f>
        <v>2906</v>
      </c>
      <c r="CP6">
        <f>-20353-CP5</f>
        <v>-30001</v>
      </c>
      <c r="CQ6">
        <f>-17688-CQ5</f>
        <v>-25733</v>
      </c>
      <c r="CR6" s="12">
        <f>-12403-CR5</f>
        <v>-19928</v>
      </c>
      <c r="CS6">
        <v>28366</v>
      </c>
      <c r="CT6">
        <v>21500</v>
      </c>
      <c r="CU6" s="12">
        <v>21920</v>
      </c>
      <c r="CV6">
        <f>3985-118096</f>
        <v>-114111</v>
      </c>
      <c r="CW6">
        <f>3985-113881</f>
        <v>-109896</v>
      </c>
      <c r="CX6" s="12">
        <f>3985-125146</f>
        <v>-121161</v>
      </c>
      <c r="CY6">
        <v>-678</v>
      </c>
      <c r="CZ6">
        <v>-3274</v>
      </c>
      <c r="DA6" s="12">
        <v>-1024</v>
      </c>
      <c r="DB6">
        <v>109</v>
      </c>
      <c r="DC6">
        <v>-729</v>
      </c>
      <c r="DD6">
        <v>-288</v>
      </c>
      <c r="DE6">
        <v>-1499</v>
      </c>
      <c r="DF6">
        <v>-800</v>
      </c>
      <c r="DG6">
        <v>85</v>
      </c>
      <c r="DH6">
        <f>133264-DH5</f>
        <v>5079</v>
      </c>
      <c r="DI6">
        <f>103396-DI5</f>
        <v>6609</v>
      </c>
      <c r="DJ6">
        <f>142101-DJ5</f>
        <v>-8731</v>
      </c>
      <c r="DK6">
        <v>38096</v>
      </c>
      <c r="DL6">
        <v>34334</v>
      </c>
    </row>
    <row r="7" spans="7:117" x14ac:dyDescent="0.35">
      <c r="G7" t="s">
        <v>4</v>
      </c>
      <c r="K7" s="19">
        <f t="shared" si="0"/>
        <v>-3585028</v>
      </c>
      <c r="L7" s="19">
        <f t="shared" si="0"/>
        <v>-3919388</v>
      </c>
      <c r="M7" s="19">
        <f t="shared" si="0"/>
        <v>-4114349</v>
      </c>
      <c r="N7">
        <v>-376781</v>
      </c>
      <c r="O7">
        <v>-425349</v>
      </c>
      <c r="P7" s="12">
        <v>-457271</v>
      </c>
      <c r="Q7">
        <v>-910918</v>
      </c>
      <c r="R7">
        <v>-1009071</v>
      </c>
      <c r="S7" s="18">
        <v>-1072976</v>
      </c>
      <c r="T7" s="6">
        <v>-310356</v>
      </c>
      <c r="U7">
        <v>-317311</v>
      </c>
      <c r="V7" s="12">
        <v>-319040</v>
      </c>
      <c r="W7">
        <v>-590627</v>
      </c>
      <c r="X7">
        <v>-656798</v>
      </c>
      <c r="Y7" s="12">
        <v>-696150</v>
      </c>
      <c r="Z7">
        <v>-566412</v>
      </c>
      <c r="AA7">
        <v>-605546</v>
      </c>
      <c r="AB7" s="12">
        <v>-623962</v>
      </c>
      <c r="AC7">
        <v>-180313</v>
      </c>
      <c r="AD7">
        <v>-201531</v>
      </c>
      <c r="AE7" s="12">
        <v>-209285</v>
      </c>
      <c r="AF7">
        <v>-202272</v>
      </c>
      <c r="AG7">
        <v>-221118</v>
      </c>
      <c r="AH7" s="12">
        <v>-229355</v>
      </c>
      <c r="AI7">
        <v>-100303</v>
      </c>
      <c r="AJ7">
        <v>-108868</v>
      </c>
      <c r="AK7" s="12">
        <v>-113426</v>
      </c>
      <c r="AL7">
        <v>-75028</v>
      </c>
      <c r="AM7">
        <v>-80508</v>
      </c>
      <c r="AN7" s="12">
        <v>-85992</v>
      </c>
      <c r="AO7">
        <v>-133445</v>
      </c>
      <c r="AP7">
        <v>-143172</v>
      </c>
      <c r="AQ7" s="12">
        <v>-148155</v>
      </c>
      <c r="AR7">
        <v>-56318</v>
      </c>
      <c r="AS7">
        <v>-60016</v>
      </c>
      <c r="AT7" s="12">
        <v>-62991</v>
      </c>
      <c r="AU7">
        <v>-82255</v>
      </c>
      <c r="AV7">
        <v>-90100</v>
      </c>
      <c r="AW7" s="12">
        <v>-95746</v>
      </c>
      <c r="AY7">
        <v>-41830</v>
      </c>
      <c r="AZ7" s="12">
        <v>-43536</v>
      </c>
      <c r="BB7">
        <v>-11825</v>
      </c>
      <c r="BC7" s="12">
        <v>-12248</v>
      </c>
      <c r="BD7">
        <v>-437297</v>
      </c>
      <c r="BE7">
        <v>-629927</v>
      </c>
      <c r="BF7" s="12">
        <v>-823744</v>
      </c>
      <c r="BG7">
        <v>0</v>
      </c>
      <c r="BH7">
        <v>0</v>
      </c>
      <c r="BI7" s="12">
        <v>0</v>
      </c>
      <c r="BO7" s="12"/>
      <c r="BR7" s="12"/>
      <c r="BZ7">
        <v>-747409</v>
      </c>
      <c r="CA7">
        <v>-846233</v>
      </c>
      <c r="CB7" s="12">
        <v>-895266</v>
      </c>
      <c r="CC7">
        <v>-6752691</v>
      </c>
      <c r="CD7">
        <v>-7472220</v>
      </c>
      <c r="CE7" s="12">
        <v>-8429414</v>
      </c>
      <c r="CF7">
        <v>-575931</v>
      </c>
      <c r="CG7">
        <v>-589663</v>
      </c>
      <c r="CH7">
        <v>-581721</v>
      </c>
      <c r="CI7" s="12">
        <v>-526174</v>
      </c>
      <c r="CK7">
        <v>-223948</v>
      </c>
      <c r="CL7" s="12">
        <v>-292038</v>
      </c>
      <c r="CM7">
        <f>-CM8-CM28</f>
        <v>-33269</v>
      </c>
      <c r="CN7">
        <f t="shared" ref="CN7:CO7" si="1">-CN8-CN28</f>
        <v>-45419</v>
      </c>
      <c r="CO7" s="12">
        <f t="shared" si="1"/>
        <v>-60016</v>
      </c>
      <c r="CP7">
        <v>-312813</v>
      </c>
      <c r="CQ7">
        <v>-504363</v>
      </c>
      <c r="CR7" s="12">
        <v>-538142</v>
      </c>
    </row>
    <row r="8" spans="7:117" x14ac:dyDescent="0.35">
      <c r="G8" t="s">
        <v>5</v>
      </c>
      <c r="K8" s="19">
        <f t="shared" si="0"/>
        <v>3250852</v>
      </c>
      <c r="L8" s="19">
        <f t="shared" si="0"/>
        <v>3536041</v>
      </c>
      <c r="M8" s="19">
        <f t="shared" si="0"/>
        <v>3560973</v>
      </c>
      <c r="N8">
        <v>341714</v>
      </c>
      <c r="O8">
        <v>385489</v>
      </c>
      <c r="P8" s="12">
        <f>397957</f>
        <v>397957</v>
      </c>
      <c r="Q8">
        <v>824213</v>
      </c>
      <c r="R8">
        <v>912867</v>
      </c>
      <c r="S8" s="12">
        <v>934250</v>
      </c>
      <c r="T8" s="7">
        <v>267454</v>
      </c>
      <c r="U8">
        <v>274117</v>
      </c>
      <c r="V8" s="12">
        <v>261481</v>
      </c>
      <c r="W8">
        <v>558406</v>
      </c>
      <c r="X8">
        <v>609140</v>
      </c>
      <c r="Y8" s="12">
        <v>611349</v>
      </c>
      <c r="Z8">
        <v>514673</v>
      </c>
      <c r="AA8">
        <v>544080</v>
      </c>
      <c r="AB8" s="12">
        <v>550679</v>
      </c>
      <c r="AC8">
        <v>158294</v>
      </c>
      <c r="AD8">
        <v>178031</v>
      </c>
      <c r="AE8" s="12">
        <v>177067</v>
      </c>
      <c r="AF8">
        <v>185315</v>
      </c>
      <c r="AG8">
        <v>202058</v>
      </c>
      <c r="AH8" s="12">
        <v>198484</v>
      </c>
      <c r="AI8">
        <v>88571</v>
      </c>
      <c r="AJ8">
        <v>95622</v>
      </c>
      <c r="AK8" s="12">
        <v>95367</v>
      </c>
      <c r="AL8">
        <v>69930</v>
      </c>
      <c r="AM8">
        <v>74510</v>
      </c>
      <c r="AN8" s="12">
        <v>75711</v>
      </c>
      <c r="AO8" s="2">
        <v>118026</v>
      </c>
      <c r="AP8">
        <v>125932</v>
      </c>
      <c r="AQ8" s="12">
        <v>123197</v>
      </c>
      <c r="AR8">
        <v>50197</v>
      </c>
      <c r="AS8">
        <v>53665</v>
      </c>
      <c r="AT8" s="12">
        <v>53342</v>
      </c>
      <c r="AU8">
        <v>74059</v>
      </c>
      <c r="AV8">
        <v>80530</v>
      </c>
      <c r="AW8" s="12">
        <v>82089</v>
      </c>
      <c r="AY8">
        <v>36450</v>
      </c>
      <c r="AZ8" s="12">
        <v>35319</v>
      </c>
      <c r="BB8">
        <v>10690</v>
      </c>
      <c r="BC8" s="12">
        <v>10565</v>
      </c>
      <c r="BD8">
        <v>437297</v>
      </c>
      <c r="BE8">
        <v>629927</v>
      </c>
      <c r="BF8" s="12">
        <v>823744</v>
      </c>
      <c r="BG8">
        <v>0</v>
      </c>
      <c r="BH8">
        <v>0</v>
      </c>
      <c r="BI8" s="12">
        <v>0</v>
      </c>
      <c r="BO8" s="12"/>
      <c r="BR8" s="12"/>
      <c r="BZ8">
        <f>553039+15687</f>
        <v>568726</v>
      </c>
      <c r="CA8">
        <f>637272+17806</f>
        <v>655078</v>
      </c>
      <c r="CB8" s="12">
        <f>866176+6261</f>
        <v>872437</v>
      </c>
      <c r="CC8">
        <v>5688964</v>
      </c>
      <c r="CD8">
        <v>6523777</v>
      </c>
      <c r="CE8" s="12">
        <v>7349060</v>
      </c>
      <c r="CG8">
        <v>580230</v>
      </c>
      <c r="CH8">
        <v>581563</v>
      </c>
      <c r="CI8" s="12">
        <v>530547</v>
      </c>
      <c r="CK8">
        <v>200542</v>
      </c>
      <c r="CL8" s="12">
        <v>260692</v>
      </c>
      <c r="CM8">
        <v>29039</v>
      </c>
      <c r="CN8">
        <v>38103</v>
      </c>
      <c r="CO8" s="12">
        <v>51283</v>
      </c>
      <c r="CP8">
        <v>312813</v>
      </c>
      <c r="CQ8">
        <v>504363</v>
      </c>
      <c r="CR8" s="12">
        <v>538142</v>
      </c>
    </row>
    <row r="9" spans="7:117" s="3" customFormat="1" x14ac:dyDescent="0.35">
      <c r="G9" s="3" t="s">
        <v>22</v>
      </c>
      <c r="J9" s="14"/>
      <c r="K9" s="20">
        <f t="shared" si="0"/>
        <v>649491</v>
      </c>
      <c r="L9" s="20">
        <f t="shared" si="0"/>
        <v>437921</v>
      </c>
      <c r="M9" s="20">
        <f t="shared" si="0"/>
        <v>285141</v>
      </c>
      <c r="N9" s="3">
        <f t="shared" ref="N9:S9" si="2">SUM(N4:N8)</f>
        <v>15301</v>
      </c>
      <c r="O9" s="3">
        <f t="shared" si="2"/>
        <v>4921</v>
      </c>
      <c r="P9" s="14">
        <f t="shared" si="2"/>
        <v>-7311</v>
      </c>
      <c r="Q9" s="3">
        <f t="shared" si="2"/>
        <v>175622</v>
      </c>
      <c r="R9" s="3">
        <f t="shared" si="2"/>
        <v>115335</v>
      </c>
      <c r="S9" s="14">
        <f t="shared" si="2"/>
        <v>77775</v>
      </c>
      <c r="T9" s="3">
        <f t="shared" ref="T9:AH9" si="3">SUM(T4:T8)</f>
        <v>159850</v>
      </c>
      <c r="U9" s="3">
        <f t="shared" si="3"/>
        <v>126721</v>
      </c>
      <c r="V9" s="14">
        <f t="shared" si="3"/>
        <v>117128</v>
      </c>
      <c r="W9" s="3">
        <f t="shared" si="3"/>
        <v>211671</v>
      </c>
      <c r="X9" s="3">
        <f t="shared" si="3"/>
        <v>148106</v>
      </c>
      <c r="Y9" s="14">
        <f t="shared" si="3"/>
        <v>102756</v>
      </c>
      <c r="Z9" s="3">
        <f t="shared" si="3"/>
        <v>1148</v>
      </c>
      <c r="AA9" s="3">
        <f t="shared" si="3"/>
        <v>-9894</v>
      </c>
      <c r="AB9" s="14">
        <f t="shared" si="3"/>
        <v>-14953</v>
      </c>
      <c r="AC9" s="3">
        <f t="shared" si="3"/>
        <v>31509</v>
      </c>
      <c r="AD9" s="3">
        <f t="shared" si="3"/>
        <v>20165</v>
      </c>
      <c r="AE9" s="14">
        <f t="shared" si="3"/>
        <v>11526</v>
      </c>
      <c r="AF9" s="3">
        <f t="shared" si="3"/>
        <v>1439</v>
      </c>
      <c r="AG9" s="3">
        <f t="shared" si="3"/>
        <v>-328</v>
      </c>
      <c r="AH9" s="14">
        <f t="shared" si="3"/>
        <v>-11549</v>
      </c>
      <c r="AI9" s="3">
        <f t="shared" ref="AI9:AK9" si="4">SUM(AI4:AI8)</f>
        <v>15452</v>
      </c>
      <c r="AJ9" s="3">
        <f t="shared" si="4"/>
        <v>10302</v>
      </c>
      <c r="AK9" s="14">
        <f t="shared" si="4"/>
        <v>5918</v>
      </c>
      <c r="AL9" s="3">
        <f t="shared" ref="AL9:AW9" si="5">SUM(AL4:AL8)</f>
        <v>26699</v>
      </c>
      <c r="AM9" s="3">
        <f t="shared" si="5"/>
        <v>18939</v>
      </c>
      <c r="AN9" s="14">
        <f t="shared" si="5"/>
        <v>14078</v>
      </c>
      <c r="AO9" s="25">
        <f t="shared" si="5"/>
        <v>3924</v>
      </c>
      <c r="AP9" s="3">
        <f t="shared" si="5"/>
        <v>-1183</v>
      </c>
      <c r="AQ9" s="14">
        <f t="shared" si="5"/>
        <v>-9697</v>
      </c>
      <c r="AR9" s="3">
        <f t="shared" si="5"/>
        <v>3700</v>
      </c>
      <c r="AS9" s="3">
        <f t="shared" si="5"/>
        <v>3601</v>
      </c>
      <c r="AT9" s="14">
        <f t="shared" si="5"/>
        <v>1463</v>
      </c>
      <c r="AU9" s="3">
        <f t="shared" si="5"/>
        <v>3176</v>
      </c>
      <c r="AV9" s="3">
        <f t="shared" si="5"/>
        <v>1236</v>
      </c>
      <c r="AW9" s="14">
        <f t="shared" si="5"/>
        <v>-1993</v>
      </c>
      <c r="AY9" s="3">
        <f>SUM(AY4:AY8)</f>
        <v>-2822</v>
      </c>
      <c r="AZ9" s="14">
        <f>SUM(AZ4:AZ8)</f>
        <v>-5480</v>
      </c>
      <c r="BB9" s="14">
        <f>SUM(BB4:BB8)</f>
        <v>-218</v>
      </c>
      <c r="BC9" s="14">
        <f>SUM(BC4:BC8)</f>
        <v>-591</v>
      </c>
      <c r="BD9" s="3">
        <f>SUM(BD4:BD8)</f>
        <v>182280</v>
      </c>
      <c r="BE9" s="3">
        <f>SUM(BE4:BE8)</f>
        <v>109839</v>
      </c>
      <c r="BF9" s="14">
        <f>SUM(BF4:BF8)</f>
        <v>98804</v>
      </c>
      <c r="BG9" s="3">
        <f t="shared" ref="BG9:BY9" si="6">SUM(BG4:BG8)</f>
        <v>100839</v>
      </c>
      <c r="BH9" s="3">
        <f t="shared" si="6"/>
        <v>83706</v>
      </c>
      <c r="BI9" s="14">
        <f t="shared" si="6"/>
        <v>73131</v>
      </c>
      <c r="BJ9" s="14">
        <f>SUM(BJ4:BJ8)</f>
        <v>386952</v>
      </c>
      <c r="BK9" s="14">
        <f>SUM(BK4:BK8)</f>
        <v>321947</v>
      </c>
      <c r="BL9" s="14">
        <f>SUM(BL4:BL8)</f>
        <v>269520</v>
      </c>
      <c r="BN9" s="14">
        <f>SUM(BN4:BN8)</f>
        <v>-11.5</v>
      </c>
      <c r="BO9" s="14">
        <f>SUM(BO4:BO8)</f>
        <v>39.500000000000007</v>
      </c>
      <c r="BQ9" s="14">
        <f>SUM(BQ4:BQ8)</f>
        <v>256.89999999999998</v>
      </c>
      <c r="BR9" s="28">
        <f>SUM(BR4:BR8)</f>
        <v>-1854.46</v>
      </c>
      <c r="BS9" s="14">
        <f>SUM(BS4:BS8)</f>
        <v>-270688</v>
      </c>
      <c r="BT9" s="14">
        <f>SUM(BT4:BT8)</f>
        <v>-422657</v>
      </c>
      <c r="BU9" s="14">
        <f>SUM(BU4:BU8)</f>
        <v>-481207</v>
      </c>
      <c r="BV9" s="3">
        <f t="shared" si="6"/>
        <v>143313</v>
      </c>
      <c r="BW9" s="3">
        <f t="shared" si="6"/>
        <v>62584</v>
      </c>
      <c r="BX9" s="3">
        <f t="shared" si="6"/>
        <v>65768</v>
      </c>
      <c r="BY9" s="3">
        <f t="shared" si="6"/>
        <v>204249</v>
      </c>
      <c r="BZ9" s="3">
        <f t="shared" ref="BZ9:CE9" si="7">SUM(BZ4:BZ8)</f>
        <v>-217824</v>
      </c>
      <c r="CA9" s="3">
        <f t="shared" si="7"/>
        <v>-186577</v>
      </c>
      <c r="CB9" s="14">
        <f t="shared" si="7"/>
        <v>-17052</v>
      </c>
      <c r="CC9" s="3">
        <f t="shared" si="7"/>
        <v>-1231360</v>
      </c>
      <c r="CD9" s="3">
        <f t="shared" si="7"/>
        <v>-1030382</v>
      </c>
      <c r="CE9" s="14">
        <f t="shared" si="7"/>
        <v>-1055140</v>
      </c>
      <c r="CF9" s="14"/>
      <c r="CG9" s="3">
        <f t="shared" ref="CG9:CI9" si="8">SUM(CG4:CG8)</f>
        <v>12627</v>
      </c>
      <c r="CH9" s="3">
        <f t="shared" si="8"/>
        <v>18379</v>
      </c>
      <c r="CI9" s="14">
        <f t="shared" si="8"/>
        <v>21234</v>
      </c>
      <c r="CK9" s="14">
        <f t="shared" ref="CK9:CL9" si="9">SUM(CK4:CK8)</f>
        <v>-29252</v>
      </c>
      <c r="CL9" s="14">
        <f t="shared" si="9"/>
        <v>-31443</v>
      </c>
      <c r="CM9" s="14">
        <f t="shared" ref="CM9:CO9" si="10">SUM(CM4:CM8)</f>
        <v>-3420</v>
      </c>
      <c r="CN9" s="14">
        <f t="shared" si="10"/>
        <v>-7499</v>
      </c>
      <c r="CO9" s="14">
        <f t="shared" si="10"/>
        <v>-5827</v>
      </c>
      <c r="CP9" s="14">
        <f t="shared" ref="CP9:CR9" si="11">SUM(CP4:CP8)</f>
        <v>-20353</v>
      </c>
      <c r="CQ9" s="14">
        <f t="shared" si="11"/>
        <v>-17688</v>
      </c>
      <c r="CR9" s="14">
        <f t="shared" si="11"/>
        <v>-12403</v>
      </c>
      <c r="CU9" s="14"/>
      <c r="CV9" s="14">
        <f>SUM(CV4:CV8)</f>
        <v>20375</v>
      </c>
      <c r="CW9" s="14">
        <f t="shared" ref="CW9:DG9" si="12">SUM(CW4:CW8)</f>
        <v>10536</v>
      </c>
      <c r="CX9" s="14">
        <f t="shared" si="12"/>
        <v>-47477</v>
      </c>
      <c r="CY9" s="14">
        <f>SUM(CY4:CY8)</f>
        <v>-656</v>
      </c>
      <c r="CZ9" s="14">
        <f t="shared" si="12"/>
        <v>-3254</v>
      </c>
      <c r="DA9" s="14">
        <f t="shared" si="12"/>
        <v>-1005</v>
      </c>
      <c r="DB9" s="13">
        <f t="shared" si="12"/>
        <v>109</v>
      </c>
      <c r="DC9" s="13">
        <f t="shared" si="12"/>
        <v>-729</v>
      </c>
      <c r="DD9" s="13">
        <f t="shared" si="12"/>
        <v>-288</v>
      </c>
      <c r="DE9" s="13">
        <f t="shared" si="12"/>
        <v>-1499</v>
      </c>
      <c r="DF9" s="13">
        <f t="shared" si="12"/>
        <v>-800</v>
      </c>
      <c r="DG9" s="13">
        <f t="shared" si="12"/>
        <v>85</v>
      </c>
      <c r="DH9" s="14">
        <f>SUM(DH4:DH8)</f>
        <v>133264</v>
      </c>
      <c r="DI9" s="14">
        <f t="shared" ref="DI9:DJ9" si="13">SUM(DI4:DI8)</f>
        <v>103396</v>
      </c>
      <c r="DJ9" s="14">
        <f t="shared" si="13"/>
        <v>142101</v>
      </c>
      <c r="DM9" s="14"/>
    </row>
    <row r="10" spans="7:117" s="3" customFormat="1" x14ac:dyDescent="0.35">
      <c r="J10" s="14"/>
      <c r="M10" s="14"/>
      <c r="P10" s="14"/>
      <c r="S10" s="14"/>
      <c r="V10" s="14"/>
      <c r="Y10" s="14"/>
      <c r="AB10" s="14"/>
      <c r="AE10" s="14"/>
      <c r="AH10" s="14"/>
      <c r="AK10" s="14"/>
      <c r="AN10" s="14"/>
      <c r="AQ10" s="14"/>
      <c r="AT10" s="14"/>
      <c r="AW10" s="14"/>
      <c r="AZ10" s="14"/>
      <c r="BF10" s="14"/>
      <c r="BI10" s="14"/>
      <c r="BL10" s="14"/>
      <c r="BO10" s="14"/>
      <c r="BR10" s="14"/>
      <c r="BU10" s="14"/>
      <c r="BY10" s="14"/>
      <c r="CB10" s="14"/>
      <c r="CE10" s="14"/>
      <c r="CI10" s="14"/>
      <c r="CK10" s="14"/>
      <c r="CL10" s="14"/>
      <c r="CM10" s="14"/>
      <c r="CN10" s="14"/>
      <c r="CO10" s="14"/>
      <c r="CP10" s="14"/>
      <c r="CQ10" s="14"/>
      <c r="CR10" s="14"/>
      <c r="CU10" s="14"/>
      <c r="CX10" s="14"/>
      <c r="DA10" s="14"/>
      <c r="DM10" s="14"/>
    </row>
    <row r="11" spans="7:117" x14ac:dyDescent="0.35">
      <c r="G11" t="s">
        <v>52</v>
      </c>
      <c r="K11" s="19">
        <f>N11+Q11+T11+W11+Z11+AC11+AF11+AL11+AO11+AI11+AR11+AU11</f>
        <v>-334176</v>
      </c>
      <c r="L11" s="19">
        <f>O11+R11+U11+X11+AA11+AD11+AG11+AM11+AP11+AJ11+AS11+AV11</f>
        <v>-383347</v>
      </c>
      <c r="M11" s="19">
        <f>P11+S11+V11+Y11+AB11+AE11+AH11+AN11+AQ11+AK11+AT11+AW11</f>
        <v>-553376</v>
      </c>
      <c r="N11">
        <f t="shared" ref="N11:S11" si="14">N7+N8</f>
        <v>-35067</v>
      </c>
      <c r="O11">
        <f t="shared" si="14"/>
        <v>-39860</v>
      </c>
      <c r="P11" s="12">
        <f t="shared" si="14"/>
        <v>-59314</v>
      </c>
      <c r="Q11">
        <f t="shared" si="14"/>
        <v>-86705</v>
      </c>
      <c r="R11">
        <f t="shared" si="14"/>
        <v>-96204</v>
      </c>
      <c r="S11" s="12">
        <f t="shared" si="14"/>
        <v>-138726</v>
      </c>
      <c r="T11">
        <f t="shared" ref="T11:AH11" si="15">T7+T8</f>
        <v>-42902</v>
      </c>
      <c r="U11">
        <f t="shared" si="15"/>
        <v>-43194</v>
      </c>
      <c r="V11" s="12">
        <f t="shared" si="15"/>
        <v>-57559</v>
      </c>
      <c r="W11">
        <f t="shared" si="15"/>
        <v>-32221</v>
      </c>
      <c r="X11">
        <f t="shared" si="15"/>
        <v>-47658</v>
      </c>
      <c r="Y11" s="12">
        <f t="shared" si="15"/>
        <v>-84801</v>
      </c>
      <c r="Z11">
        <f t="shared" si="15"/>
        <v>-51739</v>
      </c>
      <c r="AA11">
        <f t="shared" si="15"/>
        <v>-61466</v>
      </c>
      <c r="AB11" s="12">
        <f t="shared" si="15"/>
        <v>-73283</v>
      </c>
      <c r="AC11">
        <f t="shared" si="15"/>
        <v>-22019</v>
      </c>
      <c r="AD11">
        <f t="shared" si="15"/>
        <v>-23500</v>
      </c>
      <c r="AE11" s="12">
        <f t="shared" si="15"/>
        <v>-32218</v>
      </c>
      <c r="AF11">
        <f t="shared" si="15"/>
        <v>-16957</v>
      </c>
      <c r="AG11">
        <f t="shared" si="15"/>
        <v>-19060</v>
      </c>
      <c r="AH11" s="12">
        <f t="shared" si="15"/>
        <v>-30871</v>
      </c>
      <c r="AI11">
        <f t="shared" ref="AI11:AJ11" si="16">AI7+AI8</f>
        <v>-11732</v>
      </c>
      <c r="AJ11">
        <f t="shared" si="16"/>
        <v>-13246</v>
      </c>
      <c r="AK11" s="12">
        <f t="shared" ref="AK11" si="17">AK7+AK8</f>
        <v>-18059</v>
      </c>
      <c r="AL11">
        <f t="shared" ref="AL11:AW11" si="18">AL7+AL8</f>
        <v>-5098</v>
      </c>
      <c r="AM11">
        <f t="shared" si="18"/>
        <v>-5998</v>
      </c>
      <c r="AN11" s="12">
        <f t="shared" si="18"/>
        <v>-10281</v>
      </c>
      <c r="AO11">
        <f t="shared" si="18"/>
        <v>-15419</v>
      </c>
      <c r="AP11">
        <f t="shared" si="18"/>
        <v>-17240</v>
      </c>
      <c r="AQ11" s="12">
        <f t="shared" si="18"/>
        <v>-24958</v>
      </c>
      <c r="AR11">
        <f t="shared" si="18"/>
        <v>-6121</v>
      </c>
      <c r="AS11">
        <f t="shared" si="18"/>
        <v>-6351</v>
      </c>
      <c r="AT11" s="12">
        <f t="shared" si="18"/>
        <v>-9649</v>
      </c>
      <c r="AU11">
        <f t="shared" si="18"/>
        <v>-8196</v>
      </c>
      <c r="AV11">
        <f t="shared" si="18"/>
        <v>-9570</v>
      </c>
      <c r="AW11" s="12">
        <f t="shared" si="18"/>
        <v>-13657</v>
      </c>
      <c r="AY11">
        <f>AY7+AY8</f>
        <v>-5380</v>
      </c>
      <c r="AZ11" s="12">
        <f>AZ7+AZ8</f>
        <v>-8217</v>
      </c>
      <c r="BB11">
        <f>BB7+BB8</f>
        <v>-1135</v>
      </c>
      <c r="BC11" s="12">
        <f>BC7+BC8</f>
        <v>-1683</v>
      </c>
      <c r="BO11" s="12"/>
      <c r="BR11" s="12"/>
      <c r="BZ11">
        <v>178628</v>
      </c>
      <c r="CA11">
        <v>191113</v>
      </c>
      <c r="CB11" s="12">
        <v>22829</v>
      </c>
      <c r="CC11">
        <f t="shared" ref="CC11:CE11" si="19">CC7+CC8</f>
        <v>-1063727</v>
      </c>
      <c r="CD11">
        <f t="shared" si="19"/>
        <v>-948443</v>
      </c>
      <c r="CE11" s="12">
        <f t="shared" si="19"/>
        <v>-1080354</v>
      </c>
      <c r="CG11">
        <f t="shared" ref="CG11:CI11" si="20">CG7+CG8</f>
        <v>-9433</v>
      </c>
      <c r="CH11">
        <f t="shared" si="20"/>
        <v>-158</v>
      </c>
      <c r="CI11" s="12">
        <f t="shared" si="20"/>
        <v>4373</v>
      </c>
      <c r="CK11" s="12">
        <f t="shared" ref="CK11:CL11" si="21">CK7+CK8</f>
        <v>-23406</v>
      </c>
      <c r="CL11" s="12">
        <f t="shared" si="21"/>
        <v>-31346</v>
      </c>
      <c r="CM11" s="12">
        <f t="shared" ref="CM11:CO11" si="22">CM7+CM8</f>
        <v>-4230</v>
      </c>
      <c r="CN11" s="12">
        <f t="shared" si="22"/>
        <v>-7316</v>
      </c>
      <c r="CO11" s="12">
        <f t="shared" si="22"/>
        <v>-8733</v>
      </c>
      <c r="CP11" s="12">
        <f t="shared" ref="CP11:CR11" si="23">CP7+CP8</f>
        <v>0</v>
      </c>
      <c r="CQ11" s="12">
        <f t="shared" si="23"/>
        <v>0</v>
      </c>
      <c r="CR11" s="12">
        <f t="shared" si="23"/>
        <v>0</v>
      </c>
    </row>
    <row r="12" spans="7:117" x14ac:dyDescent="0.35">
      <c r="T12" s="7"/>
      <c r="AZ12" s="12"/>
      <c r="BO12" s="12"/>
      <c r="BR12" s="12"/>
    </row>
    <row r="13" spans="7:117" x14ac:dyDescent="0.35">
      <c r="G13" t="s">
        <v>103</v>
      </c>
      <c r="H13">
        <v>6428</v>
      </c>
      <c r="I13">
        <v>6935</v>
      </c>
      <c r="J13" s="12">
        <v>7951</v>
      </c>
      <c r="K13" s="19">
        <f t="shared" ref="K13:M16" si="24">N13+Q13+T13+W13+Z13+AC13+AF13+AL13+AO13+AI13+AR13+AU13</f>
        <v>8233</v>
      </c>
      <c r="L13" s="19">
        <f t="shared" si="24"/>
        <v>8692</v>
      </c>
      <c r="M13" s="19">
        <f t="shared" si="24"/>
        <v>9939</v>
      </c>
      <c r="N13">
        <v>641</v>
      </c>
      <c r="O13">
        <v>674</v>
      </c>
      <c r="P13" s="12">
        <v>699</v>
      </c>
      <c r="Q13">
        <v>2373</v>
      </c>
      <c r="R13">
        <v>2516</v>
      </c>
      <c r="S13" s="12">
        <v>2904</v>
      </c>
      <c r="T13" s="7">
        <v>1516</v>
      </c>
      <c r="U13">
        <v>1597</v>
      </c>
      <c r="V13" s="12">
        <v>1884</v>
      </c>
      <c r="W13">
        <v>1104</v>
      </c>
      <c r="X13">
        <v>1253</v>
      </c>
      <c r="Y13" s="12">
        <v>1477</v>
      </c>
      <c r="Z13">
        <v>917</v>
      </c>
      <c r="AA13">
        <v>951</v>
      </c>
      <c r="AB13" s="12">
        <v>1066</v>
      </c>
      <c r="AC13">
        <v>394</v>
      </c>
      <c r="AD13">
        <v>394</v>
      </c>
      <c r="AE13" s="12">
        <v>488</v>
      </c>
      <c r="AF13">
        <v>331</v>
      </c>
      <c r="AG13">
        <v>286</v>
      </c>
      <c r="AH13" s="12">
        <v>339</v>
      </c>
      <c r="AI13">
        <v>237</v>
      </c>
      <c r="AJ13">
        <v>247</v>
      </c>
      <c r="AK13" s="12">
        <v>261</v>
      </c>
      <c r="AL13">
        <v>192</v>
      </c>
      <c r="AM13">
        <v>185</v>
      </c>
      <c r="AN13" s="12">
        <v>198</v>
      </c>
      <c r="AO13">
        <v>219</v>
      </c>
      <c r="AP13">
        <v>226</v>
      </c>
      <c r="AQ13" s="12">
        <v>238</v>
      </c>
      <c r="AR13">
        <v>179</v>
      </c>
      <c r="AS13">
        <v>185</v>
      </c>
      <c r="AT13" s="12">
        <v>195</v>
      </c>
      <c r="AU13">
        <v>130</v>
      </c>
      <c r="AV13">
        <v>178</v>
      </c>
      <c r="AW13" s="12">
        <v>190</v>
      </c>
      <c r="AY13">
        <v>64</v>
      </c>
      <c r="AZ13" s="12">
        <v>48</v>
      </c>
      <c r="BB13">
        <v>282</v>
      </c>
      <c r="BC13" s="12">
        <v>328</v>
      </c>
      <c r="BD13">
        <v>1139</v>
      </c>
      <c r="BE13">
        <v>1256</v>
      </c>
      <c r="BF13" s="12">
        <v>1500</v>
      </c>
      <c r="BG13">
        <v>696</v>
      </c>
      <c r="BH13">
        <v>668</v>
      </c>
      <c r="BI13" s="12">
        <v>625</v>
      </c>
      <c r="BJ13">
        <f>977.3+3.5</f>
        <v>980.8</v>
      </c>
      <c r="BK13">
        <f>870.1+2.2</f>
        <v>872.30000000000007</v>
      </c>
      <c r="BL13" s="12">
        <f>768.6+2</f>
        <v>770.6</v>
      </c>
      <c r="BN13">
        <v>0.90359999999999996</v>
      </c>
      <c r="BO13">
        <v>0.87619999999999998</v>
      </c>
      <c r="BQ13">
        <v>28</v>
      </c>
      <c r="BR13" s="12">
        <v>27</v>
      </c>
      <c r="BS13">
        <v>3615</v>
      </c>
      <c r="BT13">
        <v>3384</v>
      </c>
      <c r="BU13" s="12">
        <v>3237</v>
      </c>
      <c r="BV13">
        <v>854</v>
      </c>
      <c r="BW13">
        <v>795</v>
      </c>
      <c r="BX13">
        <v>881</v>
      </c>
      <c r="BY13" s="12">
        <v>1057</v>
      </c>
      <c r="BZ13">
        <v>943</v>
      </c>
      <c r="CA13">
        <f>1074</f>
        <v>1074</v>
      </c>
      <c r="CB13" s="12">
        <f>1130</f>
        <v>1130</v>
      </c>
      <c r="CC13">
        <v>7069</v>
      </c>
      <c r="CD13">
        <v>7836</v>
      </c>
      <c r="CE13" s="12">
        <v>8569</v>
      </c>
      <c r="CF13">
        <v>729</v>
      </c>
      <c r="CG13">
        <v>756</v>
      </c>
      <c r="CH13">
        <v>735</v>
      </c>
      <c r="CI13" s="12">
        <v>736</v>
      </c>
      <c r="CK13">
        <v>317</v>
      </c>
      <c r="CL13" s="12">
        <v>411</v>
      </c>
      <c r="CM13">
        <v>84</v>
      </c>
      <c r="CN13">
        <v>89</v>
      </c>
      <c r="CO13" s="12">
        <v>94</v>
      </c>
      <c r="CP13">
        <v>414</v>
      </c>
      <c r="CQ13">
        <v>598</v>
      </c>
      <c r="CR13" s="12">
        <v>614</v>
      </c>
      <c r="CS13">
        <v>596</v>
      </c>
      <c r="CT13">
        <v>536</v>
      </c>
      <c r="CU13" s="12">
        <v>583</v>
      </c>
      <c r="CV13">
        <v>882</v>
      </c>
      <c r="CW13">
        <v>855</v>
      </c>
      <c r="CX13" s="12">
        <v>826</v>
      </c>
      <c r="CY13">
        <v>49.429000000000002</v>
      </c>
      <c r="CZ13">
        <v>75.14</v>
      </c>
      <c r="DA13" s="12">
        <v>69.721000000000004</v>
      </c>
      <c r="DB13">
        <v>5.5549999999999997</v>
      </c>
      <c r="DC13">
        <v>4.1890000000000001</v>
      </c>
      <c r="DD13">
        <v>4.375</v>
      </c>
      <c r="DE13">
        <v>8.5860000000000003</v>
      </c>
      <c r="DF13">
        <v>6.9240000000000004</v>
      </c>
      <c r="DG13">
        <v>3.5750000000000002</v>
      </c>
      <c r="DH13">
        <v>345.11500000000001</v>
      </c>
      <c r="DI13">
        <v>300.20800000000003</v>
      </c>
      <c r="DK13">
        <v>850.93100000000004</v>
      </c>
      <c r="DL13">
        <v>714.33</v>
      </c>
    </row>
    <row r="14" spans="7:117" x14ac:dyDescent="0.35">
      <c r="G14" t="s">
        <v>49</v>
      </c>
      <c r="K14" s="9">
        <f>K6/(10*K13)</f>
        <v>0.36379205635855705</v>
      </c>
      <c r="L14" s="23">
        <f>L6/(10*L13)</f>
        <v>0.8691095260009204</v>
      </c>
      <c r="M14" s="23">
        <f t="shared" ref="M14" si="25">M6/(10*M13)</f>
        <v>0.86550960861253645</v>
      </c>
      <c r="N14" s="9">
        <f>N6/(10*N13)</f>
        <v>-4.4461778471138844E-2</v>
      </c>
      <c r="O14" s="23">
        <f>O6/(10*O13)</f>
        <v>1.1397626112759645</v>
      </c>
      <c r="P14" s="23">
        <f t="shared" ref="P14:CE14" si="26">P6/(10*P13)</f>
        <v>1.2703862660944205</v>
      </c>
      <c r="Q14" s="23">
        <f t="shared" si="26"/>
        <v>-0.7017699115044248</v>
      </c>
      <c r="R14" s="23">
        <f t="shared" si="26"/>
        <v>0.12563593004769474</v>
      </c>
      <c r="S14" s="23">
        <f t="shared" si="26"/>
        <v>0.19080578512396695</v>
      </c>
      <c r="T14" s="23">
        <f t="shared" si="26"/>
        <v>1.9788918205804749E-4</v>
      </c>
      <c r="U14" s="23">
        <f t="shared" si="26"/>
        <v>0.55929868503443958</v>
      </c>
      <c r="V14" s="23">
        <f t="shared" si="26"/>
        <v>0.47409766454352442</v>
      </c>
      <c r="W14" s="23">
        <f t="shared" si="26"/>
        <v>2.3826086956521739</v>
      </c>
      <c r="X14" s="23">
        <f t="shared" si="26"/>
        <v>2.0992817238627293</v>
      </c>
      <c r="Y14" s="23">
        <f t="shared" si="26"/>
        <v>1.7809072444143534</v>
      </c>
      <c r="Z14" s="23">
        <f t="shared" si="26"/>
        <v>0.20523446019629227</v>
      </c>
      <c r="AA14" s="23">
        <f t="shared" si="26"/>
        <v>0.19789695057833859</v>
      </c>
      <c r="AB14" s="23">
        <f t="shared" si="26"/>
        <v>0.17654784240150093</v>
      </c>
      <c r="AC14" s="23">
        <f t="shared" si="26"/>
        <v>1.0761421319796953</v>
      </c>
      <c r="AD14" s="23">
        <f t="shared" si="26"/>
        <v>1.8639593908629442</v>
      </c>
      <c r="AE14" s="23">
        <f t="shared" si="26"/>
        <v>1.7383196721311476</v>
      </c>
      <c r="AF14" s="23">
        <f t="shared" si="26"/>
        <v>-6.2537764350453176E-2</v>
      </c>
      <c r="AG14" s="23">
        <f t="shared" si="26"/>
        <v>1.2122377622377623</v>
      </c>
      <c r="AH14" s="23">
        <f t="shared" si="26"/>
        <v>2.0147492625368733</v>
      </c>
      <c r="AI14" s="23">
        <f t="shared" si="26"/>
        <v>-1.5611814345991562E-2</v>
      </c>
      <c r="AJ14" s="23">
        <f t="shared" si="26"/>
        <v>0.84048582995951415</v>
      </c>
      <c r="AK14" s="23">
        <f t="shared" si="26"/>
        <v>1.6383141762452107</v>
      </c>
      <c r="AL14" s="23">
        <f t="shared" si="26"/>
        <v>1.0140625000000001</v>
      </c>
      <c r="AM14" s="23">
        <f t="shared" si="26"/>
        <v>1.0837837837837838</v>
      </c>
      <c r="AN14" s="23">
        <f t="shared" si="26"/>
        <v>1.1499999999999999</v>
      </c>
      <c r="AO14" s="23">
        <f t="shared" si="26"/>
        <v>1.6187214611872147</v>
      </c>
      <c r="AP14" s="23">
        <f t="shared" si="26"/>
        <v>1.5685840707964602</v>
      </c>
      <c r="AQ14" s="23">
        <f t="shared" si="26"/>
        <v>1.4533613445378151</v>
      </c>
      <c r="AR14" s="23">
        <f t="shared" si="26"/>
        <v>3.5033519553072625</v>
      </c>
      <c r="AS14" s="23">
        <f t="shared" si="26"/>
        <v>3.3535135135135135</v>
      </c>
      <c r="AT14" s="23">
        <f t="shared" si="26"/>
        <v>3.1887179487179487</v>
      </c>
      <c r="AU14" s="23">
        <f t="shared" si="26"/>
        <v>2.2623076923076924</v>
      </c>
      <c r="AV14" s="23">
        <f t="shared" si="26"/>
        <v>1.652247191011236</v>
      </c>
      <c r="AW14" s="23">
        <f t="shared" si="26"/>
        <v>1.5478947368421052</v>
      </c>
      <c r="AX14" s="23"/>
      <c r="AY14" s="23">
        <f t="shared" ref="AY14:AZ14" si="27">AY6/(10*AY13)</f>
        <v>0.55937499999999996</v>
      </c>
      <c r="AZ14" s="24">
        <f t="shared" si="27"/>
        <v>0.74791666666666667</v>
      </c>
      <c r="BB14" s="24">
        <f t="shared" ref="BB14:BD14" si="28">BB6/(10*BB13)</f>
        <v>7.1631205673758871E-2</v>
      </c>
      <c r="BC14" s="24">
        <f t="shared" si="28"/>
        <v>6.1585365853658536E-2</v>
      </c>
      <c r="BD14" s="23">
        <f t="shared" si="28"/>
        <v>2.0201053555750659</v>
      </c>
      <c r="BE14" s="23">
        <f t="shared" si="26"/>
        <v>-0.15851910828025478</v>
      </c>
      <c r="BF14" s="23">
        <f t="shared" si="26"/>
        <v>-1.2121333333333333</v>
      </c>
      <c r="BG14" s="23">
        <f t="shared" si="26"/>
        <v>14.488362068965516</v>
      </c>
      <c r="BH14" s="23">
        <f t="shared" si="26"/>
        <v>12.530838323353294</v>
      </c>
      <c r="BI14" s="23">
        <f t="shared" si="26"/>
        <v>11.70096</v>
      </c>
      <c r="BJ14" s="24">
        <f t="shared" ref="BJ14:BL14" si="29">BJ6/(10*BJ13)</f>
        <v>39.452691680261012</v>
      </c>
      <c r="BK14" s="24">
        <f t="shared" si="29"/>
        <v>36.907829875042992</v>
      </c>
      <c r="BL14" s="24">
        <f t="shared" si="29"/>
        <v>34.975343887879575</v>
      </c>
      <c r="BN14" s="24">
        <f t="shared" ref="BN14:BR14" si="30">BN6/(10*BN13)</f>
        <v>-5.1682160247897304</v>
      </c>
      <c r="BO14" s="24">
        <f t="shared" si="30"/>
        <v>-2.9559461310203146</v>
      </c>
      <c r="BQ14" s="24">
        <f t="shared" si="30"/>
        <v>0.91428571428571426</v>
      </c>
      <c r="BR14" s="24">
        <f t="shared" si="30"/>
        <v>-6.8703703703703702</v>
      </c>
      <c r="BS14" s="24">
        <f t="shared" ref="BS14:BU14" si="31">BS6/(10*BS13)</f>
        <v>-7.6302351313969572</v>
      </c>
      <c r="BT14" s="24">
        <f t="shared" si="31"/>
        <v>-12.624911347517731</v>
      </c>
      <c r="BU14" s="24">
        <f t="shared" si="31"/>
        <v>-15.005560704355885</v>
      </c>
      <c r="BV14" s="23">
        <f t="shared" si="26"/>
        <v>16.781381733021078</v>
      </c>
      <c r="BW14" s="23">
        <f t="shared" si="26"/>
        <v>7.8722012578616356</v>
      </c>
      <c r="BX14" s="23">
        <f t="shared" si="26"/>
        <v>7.4651532349602725</v>
      </c>
      <c r="BY14" s="23">
        <f t="shared" si="26"/>
        <v>19.323462630085146</v>
      </c>
      <c r="BZ14" s="23">
        <f t="shared" si="26"/>
        <v>-4.2855779427359488</v>
      </c>
      <c r="CA14" s="23">
        <f t="shared" si="26"/>
        <v>0.3089385474860335</v>
      </c>
      <c r="CB14" s="23">
        <f t="shared" si="26"/>
        <v>0.39991150442477874</v>
      </c>
      <c r="CC14" s="23">
        <f t="shared" si="26"/>
        <v>-2.3713820908190693</v>
      </c>
      <c r="CD14" s="23">
        <f t="shared" si="26"/>
        <v>-1.0456738131699848</v>
      </c>
      <c r="CE14" s="23">
        <f t="shared" si="26"/>
        <v>0.29424670323258256</v>
      </c>
      <c r="CF14" s="23"/>
      <c r="CG14" s="23">
        <f t="shared" ref="CG14:CI14" si="32">CG6/(10*CG13)</f>
        <v>0.48452380952380952</v>
      </c>
      <c r="CH14" s="23">
        <f t="shared" si="32"/>
        <v>0.48272108843537415</v>
      </c>
      <c r="CI14" s="24">
        <f t="shared" si="32"/>
        <v>0.46793478260869564</v>
      </c>
      <c r="CK14" s="24">
        <f t="shared" ref="CK14:CL14" si="33">CK6/(10*CK13)</f>
        <v>-1.8441640378548896</v>
      </c>
      <c r="CL14" s="24">
        <f t="shared" si="33"/>
        <v>-2.3600973236009733E-2</v>
      </c>
      <c r="CM14" s="24">
        <f t="shared" ref="CM14:CO14" si="34">CM6/(10*CM13)</f>
        <v>0.9642857142857143</v>
      </c>
      <c r="CN14" s="24">
        <f t="shared" si="34"/>
        <v>-0.20561797752808988</v>
      </c>
      <c r="CO14" s="24">
        <f t="shared" si="34"/>
        <v>3.0914893617021275</v>
      </c>
      <c r="CP14" s="24">
        <f t="shared" ref="CP14:CR14" si="35">CP6/(10*CP13)</f>
        <v>-7.2466183574879226</v>
      </c>
      <c r="CQ14" s="24">
        <f t="shared" si="35"/>
        <v>-4.3031772575250837</v>
      </c>
      <c r="CR14" s="24">
        <f t="shared" si="35"/>
        <v>-3.2456026058631924</v>
      </c>
      <c r="CV14" s="24">
        <f t="shared" ref="CV14:CX14" si="36">CV6/(10*CV13)</f>
        <v>-12.937755102040816</v>
      </c>
      <c r="CW14" s="24">
        <f t="shared" si="36"/>
        <v>-12.853333333333333</v>
      </c>
      <c r="CX14" s="24">
        <f t="shared" si="36"/>
        <v>-14.668401937046005</v>
      </c>
      <c r="CY14" s="24">
        <f t="shared" ref="CY14:DL14" si="37">CY6/(10*CY13)</f>
        <v>-1.3716644075340387</v>
      </c>
      <c r="CZ14" s="24">
        <f t="shared" si="37"/>
        <v>-4.3571998935320737</v>
      </c>
      <c r="DA14" s="24">
        <f t="shared" si="37"/>
        <v>-1.468711005292523</v>
      </c>
      <c r="DB14" s="24">
        <f t="shared" si="37"/>
        <v>1.9621962196219622</v>
      </c>
      <c r="DC14" s="24">
        <f t="shared" si="37"/>
        <v>-17.402721413225112</v>
      </c>
      <c r="DD14" s="24">
        <f t="shared" si="37"/>
        <v>-6.5828571428571427</v>
      </c>
      <c r="DE14" s="24">
        <f t="shared" si="37"/>
        <v>-17.458653622175635</v>
      </c>
      <c r="DF14" s="24">
        <f t="shared" si="37"/>
        <v>-11.554015020219525</v>
      </c>
      <c r="DG14" s="24">
        <f t="shared" si="37"/>
        <v>2.3776223776223775</v>
      </c>
      <c r="DH14" s="24">
        <f t="shared" si="37"/>
        <v>1.4716833519261694</v>
      </c>
      <c r="DI14" s="24">
        <f t="shared" si="37"/>
        <v>2.2014736449395085</v>
      </c>
      <c r="DK14" s="24">
        <f t="shared" si="37"/>
        <v>4.4769787444575408</v>
      </c>
      <c r="DL14" s="24">
        <f t="shared" si="37"/>
        <v>4.8064619993560402</v>
      </c>
    </row>
    <row r="15" spans="7:117" s="29" customFormat="1" x14ac:dyDescent="0.35">
      <c r="G15" s="29" t="s">
        <v>23</v>
      </c>
      <c r="J15" s="30"/>
      <c r="K15" s="31">
        <f t="shared" ref="K15:M15" si="38">K9/(10*K13)</f>
        <v>7.8888740434835416</v>
      </c>
      <c r="L15" s="31">
        <f t="shared" si="38"/>
        <v>5.0382075471698116</v>
      </c>
      <c r="M15" s="32">
        <f t="shared" si="38"/>
        <v>2.868910353154241</v>
      </c>
      <c r="N15" s="31">
        <f t="shared" ref="N15:P15" si="39">N9/(10*N13)</f>
        <v>2.3870514820592823</v>
      </c>
      <c r="O15" s="31">
        <f t="shared" si="39"/>
        <v>0.73011869436201782</v>
      </c>
      <c r="P15" s="32">
        <f t="shared" si="39"/>
        <v>-1.0459227467811159</v>
      </c>
      <c r="Q15" s="31">
        <f>Q9/(10*Q13)</f>
        <v>7.4008428150021066</v>
      </c>
      <c r="R15" s="31">
        <f>R9/(10*R13)</f>
        <v>4.5840620031796506</v>
      </c>
      <c r="S15" s="32">
        <f t="shared" ref="S15" si="40">S9/(10*S13)</f>
        <v>2.678202479338843</v>
      </c>
      <c r="T15" s="31">
        <f t="shared" ref="T15" si="41">T9/(10*T13)</f>
        <v>10.54419525065963</v>
      </c>
      <c r="U15" s="31">
        <f t="shared" ref="U15:W15" si="42">U9/(10*U13)</f>
        <v>7.9349405134627427</v>
      </c>
      <c r="V15" s="32">
        <f t="shared" si="42"/>
        <v>6.2169851380042465</v>
      </c>
      <c r="W15" s="31">
        <f t="shared" si="42"/>
        <v>19.173097826086956</v>
      </c>
      <c r="X15" s="31">
        <f t="shared" ref="X15:Z15" si="43">X9/(10*X13)</f>
        <v>11.820111731843575</v>
      </c>
      <c r="Y15" s="32">
        <f t="shared" si="43"/>
        <v>6.9570751523358156</v>
      </c>
      <c r="Z15" s="31">
        <f t="shared" si="43"/>
        <v>0.1251908396946565</v>
      </c>
      <c r="AA15" s="31">
        <f t="shared" ref="AA15:AC15" si="44">AA9/(10*AA13)</f>
        <v>-1.040378548895899</v>
      </c>
      <c r="AB15" s="32">
        <f t="shared" si="44"/>
        <v>-1.4027204502814259</v>
      </c>
      <c r="AC15" s="31">
        <f t="shared" si="44"/>
        <v>7.9972081218274109</v>
      </c>
      <c r="AD15" s="31">
        <f t="shared" ref="AD15:AE15" si="45">AD9/(10*AD13)</f>
        <v>5.1180203045685282</v>
      </c>
      <c r="AE15" s="32">
        <f t="shared" si="45"/>
        <v>2.3618852459016395</v>
      </c>
      <c r="AF15" s="31">
        <f>AF9/(10*AF13)</f>
        <v>0.43474320241691844</v>
      </c>
      <c r="AG15" s="31">
        <f t="shared" ref="AG15:AH15" si="46">AG9/(10*AG13)</f>
        <v>-0.11468531468531469</v>
      </c>
      <c r="AH15" s="32">
        <f t="shared" si="46"/>
        <v>-3.4067846607669616</v>
      </c>
      <c r="AI15" s="31">
        <f>AI9/(10*AI13)</f>
        <v>6.5198312236286924</v>
      </c>
      <c r="AJ15" s="31">
        <f>AJ9/(10*AJ13)</f>
        <v>4.1708502024291496</v>
      </c>
      <c r="AK15" s="32">
        <f>AK9/(10*AK13)</f>
        <v>2.2674329501915711</v>
      </c>
      <c r="AL15" s="31">
        <f>AL9/(10*AL13)</f>
        <v>13.905729166666667</v>
      </c>
      <c r="AM15" s="31">
        <f>AM9/(10*AM13)</f>
        <v>10.237297297297298</v>
      </c>
      <c r="AN15" s="32">
        <f t="shared" ref="AN15" si="47">AN9/(10*AN13)</f>
        <v>7.11010101010101</v>
      </c>
      <c r="AO15" s="31">
        <f t="shared" ref="AO15:AP15" si="48">AO9/(10*AO13)</f>
        <v>1.7917808219178082</v>
      </c>
      <c r="AP15" s="31">
        <f t="shared" si="48"/>
        <v>-0.52345132743362832</v>
      </c>
      <c r="AQ15" s="32">
        <f>AQ9/(10*AQ13)</f>
        <v>-4.0743697478991594</v>
      </c>
      <c r="AR15" s="31">
        <f t="shared" ref="AR15" si="49">AR9/(10*AR13)</f>
        <v>2.0670391061452515</v>
      </c>
      <c r="AS15" s="31">
        <f>AS9/(10*AS13)</f>
        <v>1.9464864864864866</v>
      </c>
      <c r="AT15" s="32">
        <f t="shared" ref="AT15:AU15" si="50">AT9/(10*AT13)</f>
        <v>0.75025641025641021</v>
      </c>
      <c r="AU15" s="31">
        <f t="shared" si="50"/>
        <v>2.4430769230769229</v>
      </c>
      <c r="AV15" s="31">
        <f>AV9/(10*AV13)</f>
        <v>0.69438202247191017</v>
      </c>
      <c r="AW15" s="32">
        <f t="shared" ref="AW15" si="51">AW9/(10*AW13)</f>
        <v>-1.0489473684210526</v>
      </c>
      <c r="AX15" s="31"/>
      <c r="AY15" s="31">
        <f>AY9/(10*AY13)</f>
        <v>-4.4093749999999998</v>
      </c>
      <c r="AZ15" s="32">
        <f t="shared" ref="AZ15" si="52">AZ9/(10*AZ13)</f>
        <v>-11.416666666666666</v>
      </c>
      <c r="BB15" s="32">
        <f>BB9/(10*BB13)</f>
        <v>-7.7304964539007093E-2</v>
      </c>
      <c r="BC15" s="32">
        <f t="shared" ref="BC15" si="53">BC9/(10*BC13)</f>
        <v>-0.18018292682926829</v>
      </c>
      <c r="BD15" s="31">
        <f t="shared" ref="BD15:BE15" si="54">BD9/(10*BD13)</f>
        <v>16.003511852502196</v>
      </c>
      <c r="BE15" s="31">
        <f t="shared" si="54"/>
        <v>8.7451433121019111</v>
      </c>
      <c r="BF15" s="32">
        <f t="shared" ref="BF15" si="55">BF9/(10*BF13)</f>
        <v>6.5869333333333335</v>
      </c>
      <c r="BG15" s="31">
        <f t="shared" ref="BG15:BH15" si="56">BG9/(10*BG13)</f>
        <v>14.488362068965516</v>
      </c>
      <c r="BH15" s="31">
        <f t="shared" si="56"/>
        <v>12.530838323353294</v>
      </c>
      <c r="BI15" s="32">
        <f t="shared" ref="BI15" si="57">BI9/(10*BI13)</f>
        <v>11.70096</v>
      </c>
      <c r="BJ15" s="32">
        <f t="shared" ref="BJ15:BL15" si="58">BJ9/(10*BJ13)</f>
        <v>39.452691680261012</v>
      </c>
      <c r="BK15" s="32">
        <f t="shared" si="58"/>
        <v>36.907829875042992</v>
      </c>
      <c r="BL15" s="32">
        <f t="shared" si="58"/>
        <v>34.975343887879575</v>
      </c>
      <c r="BN15" s="32">
        <f t="shared" ref="BN15:BR15" si="59">BN9/(10*BN13)</f>
        <v>-1.2726870296591413</v>
      </c>
      <c r="BO15" s="32">
        <f t="shared" si="59"/>
        <v>4.5081031727916008</v>
      </c>
      <c r="BQ15" s="32">
        <f t="shared" si="59"/>
        <v>0.91749999999999987</v>
      </c>
      <c r="BR15" s="32">
        <f t="shared" si="59"/>
        <v>-6.8683703703703705</v>
      </c>
      <c r="BS15" s="32">
        <f t="shared" ref="BS15:BU15" si="60">BS9/(10*BS13)</f>
        <v>-7.4879114799446747</v>
      </c>
      <c r="BT15" s="32">
        <f t="shared" si="60"/>
        <v>-12.489864066193853</v>
      </c>
      <c r="BU15" s="32">
        <f t="shared" si="60"/>
        <v>-14.865832561013283</v>
      </c>
      <c r="BV15" s="31">
        <f t="shared" ref="BV15:BW15" si="61">BV9/(10*BV13)</f>
        <v>16.781381733021078</v>
      </c>
      <c r="BW15" s="31">
        <f t="shared" si="61"/>
        <v>7.8722012578616356</v>
      </c>
      <c r="BX15" s="31">
        <f t="shared" ref="BX15:BY15" si="62">BX9/(10*BX13)</f>
        <v>7.4651532349602725</v>
      </c>
      <c r="BY15" s="31">
        <f t="shared" si="62"/>
        <v>19.323462630085146</v>
      </c>
      <c r="BZ15" s="31">
        <f t="shared" ref="BZ15:CE15" si="63">BZ9/(10*BZ13)</f>
        <v>-23.099045599151644</v>
      </c>
      <c r="CA15" s="31">
        <f t="shared" si="63"/>
        <v>-17.372160148975791</v>
      </c>
      <c r="CB15" s="32">
        <f t="shared" ref="CB15" si="64">CB9/(10*CB13)</f>
        <v>-1.5090265486725665</v>
      </c>
      <c r="CC15" s="31">
        <f t="shared" si="63"/>
        <v>-17.419154052907061</v>
      </c>
      <c r="CD15" s="31">
        <f t="shared" si="63"/>
        <v>-13.14933639612047</v>
      </c>
      <c r="CE15" s="32">
        <f t="shared" si="63"/>
        <v>-12.313455479052399</v>
      </c>
      <c r="CF15" s="32"/>
      <c r="CG15" s="32">
        <f t="shared" ref="CG15:CI15" si="65">CG9/(10*CG13)</f>
        <v>1.6702380952380953</v>
      </c>
      <c r="CH15" s="32">
        <f t="shared" si="65"/>
        <v>2.5005442176870747</v>
      </c>
      <c r="CI15" s="32">
        <f t="shared" si="65"/>
        <v>2.8850543478260868</v>
      </c>
      <c r="CK15" s="32">
        <f t="shared" ref="CK15:CL15" si="66">CK9/(10*CK13)</f>
        <v>-9.2277602523659308</v>
      </c>
      <c r="CL15" s="32">
        <f t="shared" si="66"/>
        <v>-7.6503649635036499</v>
      </c>
      <c r="CM15" s="32">
        <f t="shared" ref="CM15:CO15" si="67">CM9/(10*CM13)</f>
        <v>-4.0714285714285712</v>
      </c>
      <c r="CN15" s="32">
        <f t="shared" si="67"/>
        <v>-8.4258426966292141</v>
      </c>
      <c r="CO15" s="32">
        <f t="shared" si="67"/>
        <v>-6.1989361702127663</v>
      </c>
      <c r="CP15" s="32">
        <f t="shared" ref="CP15:CR15" si="68">CP9/(10*CP13)</f>
        <v>-4.9161835748792271</v>
      </c>
      <c r="CQ15" s="32">
        <f t="shared" si="68"/>
        <v>-2.9578595317725753</v>
      </c>
      <c r="CR15" s="32">
        <f t="shared" si="68"/>
        <v>-2.0200325732899023</v>
      </c>
      <c r="CU15" s="30"/>
      <c r="CV15" s="32">
        <f t="shared" ref="CV15:CX15" si="69">CV9/(10*CV13)</f>
        <v>2.3100907029478459</v>
      </c>
      <c r="CW15" s="32">
        <f t="shared" si="69"/>
        <v>1.232280701754386</v>
      </c>
      <c r="CX15" s="32">
        <f t="shared" si="69"/>
        <v>-5.7478208232445525</v>
      </c>
      <c r="CY15" s="32">
        <f t="shared" ref="CY15:DA15" si="70">CY9/(10*CY13)</f>
        <v>-1.3271561229237896</v>
      </c>
      <c r="CZ15" s="32">
        <f t="shared" si="70"/>
        <v>-4.3305829118977908</v>
      </c>
      <c r="DA15" s="32">
        <f t="shared" si="70"/>
        <v>-1.4414595315615093</v>
      </c>
      <c r="DD15" s="30"/>
      <c r="DG15" s="30"/>
      <c r="DJ15" s="30"/>
      <c r="DM15" s="30"/>
    </row>
    <row r="16" spans="7:117" x14ac:dyDescent="0.35">
      <c r="G16" t="s">
        <v>39</v>
      </c>
      <c r="K16" s="19">
        <f t="shared" si="24"/>
        <v>-44569</v>
      </c>
      <c r="L16" s="19">
        <f t="shared" si="24"/>
        <v>-10565</v>
      </c>
      <c r="M16" s="19">
        <f t="shared" si="24"/>
        <v>5077</v>
      </c>
      <c r="N16">
        <v>-7944</v>
      </c>
      <c r="O16">
        <v>-1266</v>
      </c>
      <c r="P16" s="12">
        <v>0</v>
      </c>
      <c r="Q16">
        <v>-19814</v>
      </c>
      <c r="R16">
        <v>-2381</v>
      </c>
      <c r="S16" s="12">
        <v>-172</v>
      </c>
      <c r="T16">
        <v>-7734</v>
      </c>
      <c r="U16">
        <v>0</v>
      </c>
      <c r="V16" s="12">
        <v>0</v>
      </c>
      <c r="W16">
        <v>844</v>
      </c>
      <c r="X16">
        <v>815</v>
      </c>
      <c r="Y16" s="12">
        <v>2055</v>
      </c>
      <c r="Z16">
        <v>0</v>
      </c>
      <c r="AA16">
        <v>0</v>
      </c>
      <c r="AB16" s="12">
        <v>2403</v>
      </c>
      <c r="AC16">
        <v>-3194</v>
      </c>
      <c r="AD16">
        <v>-1139</v>
      </c>
      <c r="AE16" s="12">
        <v>0</v>
      </c>
      <c r="AF16">
        <v>-3679</v>
      </c>
      <c r="AG16">
        <v>-3370</v>
      </c>
      <c r="AH16" s="12">
        <v>-580</v>
      </c>
      <c r="AI16">
        <v>-2122</v>
      </c>
      <c r="AJ16">
        <v>-2211</v>
      </c>
      <c r="AK16" s="12">
        <v>-5</v>
      </c>
      <c r="AL16">
        <v>2</v>
      </c>
      <c r="AM16">
        <v>0</v>
      </c>
      <c r="AN16" s="12">
        <v>297</v>
      </c>
      <c r="AO16">
        <v>99</v>
      </c>
      <c r="AP16">
        <v>99</v>
      </c>
      <c r="AQ16" s="12">
        <v>457</v>
      </c>
      <c r="AR16">
        <v>0</v>
      </c>
      <c r="AS16">
        <v>0</v>
      </c>
      <c r="AT16" s="12">
        <v>575</v>
      </c>
      <c r="AU16">
        <v>-1027</v>
      </c>
      <c r="AV16">
        <v>-1112</v>
      </c>
      <c r="AW16" s="12">
        <v>47</v>
      </c>
      <c r="AY16">
        <v>0</v>
      </c>
      <c r="AZ16" s="12">
        <v>-156</v>
      </c>
      <c r="BB16">
        <v>0</v>
      </c>
      <c r="BC16" s="12">
        <v>0</v>
      </c>
      <c r="BD16">
        <v>36</v>
      </c>
      <c r="BE16">
        <v>16191</v>
      </c>
      <c r="BF16" s="12">
        <v>-80734</v>
      </c>
      <c r="BG16">
        <v>17132</v>
      </c>
      <c r="BH16">
        <v>10574</v>
      </c>
      <c r="BI16" s="12">
        <v>-8464</v>
      </c>
      <c r="BJ16">
        <v>94087</v>
      </c>
      <c r="BK16">
        <v>70031</v>
      </c>
      <c r="BL16" s="12">
        <v>-10586</v>
      </c>
      <c r="BN16">
        <v>-20.6</v>
      </c>
      <c r="BO16" s="12">
        <v>-16.899999999999999</v>
      </c>
      <c r="BQ16">
        <v>-402</v>
      </c>
      <c r="BR16" s="12">
        <v>-1763</v>
      </c>
      <c r="BS16">
        <v>151393</v>
      </c>
      <c r="BT16">
        <v>55108</v>
      </c>
      <c r="BU16" s="12">
        <v>-411855</v>
      </c>
      <c r="BV16">
        <v>80729</v>
      </c>
      <c r="BW16">
        <v>-3184</v>
      </c>
      <c r="BX16">
        <v>-132480</v>
      </c>
      <c r="BY16" s="12">
        <v>26300</v>
      </c>
      <c r="BZ16">
        <v>33</v>
      </c>
      <c r="CA16">
        <v>39</v>
      </c>
      <c r="CC16">
        <v>-77621</v>
      </c>
      <c r="CD16">
        <v>-114300</v>
      </c>
      <c r="CE16" s="12">
        <v>58836</v>
      </c>
      <c r="CG16">
        <v>2287</v>
      </c>
      <c r="CH16">
        <v>2088</v>
      </c>
      <c r="CI16" s="12">
        <v>1325</v>
      </c>
      <c r="CK16" s="12">
        <v>1325</v>
      </c>
      <c r="CL16" s="12">
        <v>1325</v>
      </c>
      <c r="CM16">
        <v>375</v>
      </c>
      <c r="CN16">
        <v>202</v>
      </c>
      <c r="CO16" s="12">
        <v>-86</v>
      </c>
      <c r="CP16">
        <v>-4153</v>
      </c>
      <c r="CQ16">
        <v>-5952</v>
      </c>
      <c r="CR16" s="12">
        <v>-36700</v>
      </c>
      <c r="CS16">
        <v>7819</v>
      </c>
      <c r="CT16">
        <v>1362</v>
      </c>
      <c r="CU16" s="12">
        <v>2545</v>
      </c>
      <c r="CV16">
        <v>-4215</v>
      </c>
      <c r="CW16">
        <v>11265</v>
      </c>
      <c r="CX16" s="12">
        <v>-21484</v>
      </c>
      <c r="CY16">
        <v>2303</v>
      </c>
      <c r="CZ16">
        <v>-3439</v>
      </c>
      <c r="DA16" s="12">
        <v>-4276</v>
      </c>
      <c r="DB16" s="1">
        <v>837</v>
      </c>
      <c r="DC16" s="1">
        <v>-440</v>
      </c>
      <c r="DD16" s="1">
        <v>-340</v>
      </c>
      <c r="DE16" s="1">
        <v>-700</v>
      </c>
      <c r="DF16" s="1">
        <v>-818</v>
      </c>
      <c r="DG16" s="1">
        <v>93</v>
      </c>
      <c r="DH16" s="1">
        <v>10041</v>
      </c>
      <c r="DI16" s="1">
        <v>9226</v>
      </c>
      <c r="DK16" s="1">
        <v>3762</v>
      </c>
      <c r="DL16" s="1">
        <v>-30772</v>
      </c>
    </row>
    <row r="17" spans="7:117" x14ac:dyDescent="0.35">
      <c r="T17" s="7"/>
      <c r="AZ17" s="12"/>
      <c r="BO17" s="12"/>
      <c r="BR17" s="12"/>
    </row>
    <row r="18" spans="7:117" x14ac:dyDescent="0.35">
      <c r="L18" s="19"/>
      <c r="T18" s="7"/>
      <c r="AG18" s="10"/>
      <c r="AZ18" s="12"/>
      <c r="BO18" s="12"/>
      <c r="BR18" s="12"/>
    </row>
    <row r="19" spans="7:117" x14ac:dyDescent="0.35">
      <c r="G19" t="s">
        <v>104</v>
      </c>
      <c r="K19" s="9">
        <v>14.85</v>
      </c>
      <c r="L19" s="9">
        <v>14.334000000000001</v>
      </c>
      <c r="M19" s="9">
        <v>13.494999999999999</v>
      </c>
      <c r="N19">
        <v>15.2</v>
      </c>
      <c r="O19" s="2">
        <v>14.6</v>
      </c>
      <c r="P19" s="15">
        <v>13.7</v>
      </c>
      <c r="Q19" s="2">
        <v>4.3099999999999996</v>
      </c>
      <c r="R19" s="2">
        <v>4.1900000000000004</v>
      </c>
      <c r="S19" s="15">
        <v>3.95</v>
      </c>
      <c r="T19" s="33">
        <v>2.92</v>
      </c>
      <c r="U19" s="2">
        <v>2.83</v>
      </c>
      <c r="V19" s="12">
        <v>2.65</v>
      </c>
      <c r="W19" s="2">
        <v>2.19</v>
      </c>
      <c r="X19" s="2">
        <v>2.13</v>
      </c>
      <c r="Y19" s="15">
        <v>2</v>
      </c>
      <c r="Z19" s="2">
        <v>1.59</v>
      </c>
      <c r="AA19" s="2">
        <v>1.5</v>
      </c>
      <c r="AB19" s="15">
        <v>1.37</v>
      </c>
      <c r="AC19" s="2">
        <v>1.1299999999999999</v>
      </c>
      <c r="AD19" s="2">
        <v>1.07</v>
      </c>
      <c r="AE19" s="15">
        <v>0.99</v>
      </c>
      <c r="AF19" s="2">
        <v>0.61</v>
      </c>
      <c r="AG19" s="2">
        <v>0.6</v>
      </c>
      <c r="AH19" s="15">
        <v>0.56000000000000005</v>
      </c>
      <c r="AI19" s="2">
        <v>0.48</v>
      </c>
      <c r="AJ19">
        <v>0.47</v>
      </c>
      <c r="AK19" s="53">
        <v>0.45</v>
      </c>
      <c r="AL19" s="2">
        <v>0.28499999999999998</v>
      </c>
      <c r="AM19" s="2">
        <v>0.26800000000000002</v>
      </c>
      <c r="AN19" s="15">
        <v>0.24399999999999999</v>
      </c>
      <c r="AO19" s="2">
        <v>0.23799999999999999</v>
      </c>
      <c r="AP19">
        <v>0.22500000000000001</v>
      </c>
      <c r="AQ19" s="12">
        <v>0.20799999999999999</v>
      </c>
      <c r="AR19" s="2">
        <v>0.53300000000000003</v>
      </c>
      <c r="AS19" s="2">
        <v>0.51</v>
      </c>
      <c r="AT19" s="15">
        <v>0.52100000000000002</v>
      </c>
      <c r="AU19" s="2">
        <v>0.56399999999999995</v>
      </c>
      <c r="AV19" s="2">
        <v>0.54100000000000004</v>
      </c>
      <c r="AW19" s="15">
        <v>0.55200000000000005</v>
      </c>
      <c r="AX19" s="2">
        <v>0.13100000000000001</v>
      </c>
      <c r="AY19" s="2">
        <v>0.124</v>
      </c>
      <c r="AZ19" s="15">
        <v>0.11</v>
      </c>
      <c r="BA19" s="2">
        <v>8.5999999999999993E-2</v>
      </c>
      <c r="BB19" s="2">
        <v>8.1000000000000003E-2</v>
      </c>
      <c r="BC19" s="12">
        <v>7.6999999999999999E-2</v>
      </c>
      <c r="BD19" s="9">
        <v>6.4022000000000006</v>
      </c>
      <c r="BE19" s="9">
        <v>6.1985520000000003</v>
      </c>
      <c r="BF19" s="9">
        <v>5.8462800000000001</v>
      </c>
      <c r="BG19" s="9">
        <v>2.9611833000000001</v>
      </c>
      <c r="BH19" s="9">
        <v>2.8015384000000001</v>
      </c>
      <c r="BI19" s="9">
        <v>2.8419272000000002</v>
      </c>
      <c r="BJ19" s="9">
        <v>5.1981630000000001</v>
      </c>
      <c r="BK19" s="9">
        <v>5.1068856</v>
      </c>
      <c r="BL19" s="9">
        <v>5.7281741999999998</v>
      </c>
      <c r="BM19" s="9">
        <v>3.6427067999999996</v>
      </c>
      <c r="BN19" s="9">
        <v>3.415584</v>
      </c>
      <c r="BO19" s="9">
        <v>3.1021982000000001</v>
      </c>
      <c r="BP19" s="9">
        <v>81.431799999999996</v>
      </c>
      <c r="BQ19" s="9">
        <v>75.606300000000005</v>
      </c>
      <c r="BR19" s="9">
        <v>66.128010000000003</v>
      </c>
      <c r="BS19" s="9">
        <v>8.01328</v>
      </c>
      <c r="BT19" s="9">
        <v>7.6092680000000001</v>
      </c>
      <c r="BU19" s="9">
        <v>7.0504419999999994</v>
      </c>
      <c r="BV19" s="9">
        <v>0.82495160000000001</v>
      </c>
      <c r="BW19" s="9">
        <v>0.80367859999999991</v>
      </c>
      <c r="BX19" s="9">
        <v>0.79069889999999998</v>
      </c>
      <c r="BY19" s="15"/>
      <c r="BZ19" s="45">
        <v>2850.989</v>
      </c>
      <c r="CA19" s="45">
        <v>2711.1849999999999</v>
      </c>
      <c r="CB19" s="45">
        <v>2526.4279999999999</v>
      </c>
      <c r="CC19" s="45">
        <v>29184.9</v>
      </c>
      <c r="CD19" s="45">
        <v>27720.724999999999</v>
      </c>
      <c r="CE19" s="45">
        <v>26006.9</v>
      </c>
      <c r="CF19" s="46">
        <v>624.49237500000004</v>
      </c>
      <c r="CG19" s="46">
        <v>609.43259999999998</v>
      </c>
      <c r="CH19" s="46">
        <v>591.91250000000002</v>
      </c>
      <c r="CI19" s="46">
        <v>560.46429999999998</v>
      </c>
      <c r="CJ19" s="45">
        <v>3069.0819999999999</v>
      </c>
      <c r="CK19" s="45">
        <v>2933.81</v>
      </c>
      <c r="CL19" s="45">
        <v>2850.94</v>
      </c>
      <c r="CM19">
        <v>425.49400000000003</v>
      </c>
      <c r="CN19">
        <v>412.46</v>
      </c>
      <c r="CO19">
        <v>385.57600000000002</v>
      </c>
      <c r="CP19">
        <v>481.74</v>
      </c>
      <c r="CQ19">
        <v>473.85199999999998</v>
      </c>
      <c r="CR19">
        <v>448.19200000000001</v>
      </c>
      <c r="CS19" s="46">
        <v>2549.1206999999999</v>
      </c>
      <c r="CT19" s="46">
        <v>2401.1894000000002</v>
      </c>
      <c r="CU19" s="46">
        <v>2323.7815000000001</v>
      </c>
      <c r="CV19" s="45">
        <v>1999.2570000000001</v>
      </c>
      <c r="CW19" s="45">
        <v>1878.373</v>
      </c>
      <c r="CX19" s="45">
        <v>1764.412</v>
      </c>
      <c r="CY19" s="46">
        <v>311.630878</v>
      </c>
      <c r="CZ19" s="46">
        <v>281.85748699999999</v>
      </c>
      <c r="DA19" s="46">
        <v>263.06544200000002</v>
      </c>
      <c r="DB19" s="45">
        <v>33.913829</v>
      </c>
      <c r="DC19" s="45">
        <v>31.855566</v>
      </c>
      <c r="DD19" s="45">
        <v>29.516051999999998</v>
      </c>
      <c r="DE19" s="47">
        <v>21.244103133039996</v>
      </c>
      <c r="DF19" s="47">
        <v>26.545721181919998</v>
      </c>
      <c r="DG19" s="47">
        <v>30.67528432464</v>
      </c>
      <c r="DH19" s="46">
        <v>1705.3230000000001</v>
      </c>
      <c r="DI19" s="46">
        <v>1584.5619999999999</v>
      </c>
      <c r="DJ19" s="46">
        <v>1471.079</v>
      </c>
      <c r="DK19">
        <v>731.43600000000004</v>
      </c>
      <c r="DL19">
        <v>678.68799999999999</v>
      </c>
      <c r="DM19">
        <v>701.76599999999996</v>
      </c>
    </row>
    <row r="20" spans="7:117" s="48" customFormat="1" x14ac:dyDescent="0.35">
      <c r="G20" s="48" t="s">
        <v>24</v>
      </c>
      <c r="J20" s="49"/>
      <c r="K20" s="50">
        <f t="shared" ref="K20:P20" si="71">K9/(K19*10000)</f>
        <v>4.3736767676767681</v>
      </c>
      <c r="L20" s="50">
        <f t="shared" si="71"/>
        <v>3.0551206920608345</v>
      </c>
      <c r="M20" s="50">
        <f t="shared" si="71"/>
        <v>2.1129381252315671</v>
      </c>
      <c r="N20" s="50">
        <f t="shared" si="71"/>
        <v>0.10066447368421053</v>
      </c>
      <c r="O20" s="50">
        <f t="shared" si="71"/>
        <v>3.3705479452054793E-2</v>
      </c>
      <c r="P20" s="50">
        <f t="shared" si="71"/>
        <v>-5.3364963503649637E-2</v>
      </c>
      <c r="Q20" s="50">
        <f t="shared" ref="Q20" si="72">Q9/(Q19*10000)</f>
        <v>4.0747563805104416</v>
      </c>
      <c r="R20" s="50">
        <f>R9/(R19*10000)</f>
        <v>2.7526252983293551</v>
      </c>
      <c r="S20" s="50">
        <f t="shared" ref="S20:BX20" si="73">S9/(S19*10000)</f>
        <v>1.968987341772152</v>
      </c>
      <c r="T20" s="50">
        <f t="shared" si="73"/>
        <v>5.4743150684931505</v>
      </c>
      <c r="U20" s="50">
        <f t="shared" si="73"/>
        <v>4.477773851590106</v>
      </c>
      <c r="V20" s="50">
        <f t="shared" si="73"/>
        <v>4.4199245283018866</v>
      </c>
      <c r="W20" s="50">
        <f t="shared" si="73"/>
        <v>9.6653424657534242</v>
      </c>
      <c r="X20" s="50">
        <f t="shared" si="73"/>
        <v>6.9533333333333331</v>
      </c>
      <c r="Y20" s="50">
        <f t="shared" si="73"/>
        <v>5.1378000000000004</v>
      </c>
      <c r="Z20" s="50">
        <f t="shared" si="73"/>
        <v>7.2201257861635226E-2</v>
      </c>
      <c r="AA20" s="50">
        <f t="shared" si="73"/>
        <v>-0.65959999999999996</v>
      </c>
      <c r="AB20" s="50">
        <f t="shared" si="73"/>
        <v>-1.0914598540145983</v>
      </c>
      <c r="AC20" s="50">
        <f t="shared" si="73"/>
        <v>2.7884070796460181</v>
      </c>
      <c r="AD20" s="50">
        <f t="shared" si="73"/>
        <v>1.8845794392523365</v>
      </c>
      <c r="AE20" s="50">
        <f t="shared" si="73"/>
        <v>1.1642424242424243</v>
      </c>
      <c r="AF20" s="50">
        <f t="shared" si="73"/>
        <v>0.23590163934426228</v>
      </c>
      <c r="AG20" s="50">
        <f t="shared" si="73"/>
        <v>-5.4666666666666669E-2</v>
      </c>
      <c r="AH20" s="50">
        <f t="shared" si="73"/>
        <v>-2.0623214285714284</v>
      </c>
      <c r="AI20" s="50">
        <f t="shared" si="73"/>
        <v>3.2191666666666667</v>
      </c>
      <c r="AJ20" s="50">
        <f t="shared" si="73"/>
        <v>2.1919148936170214</v>
      </c>
      <c r="AK20" s="50">
        <f t="shared" si="73"/>
        <v>1.3151111111111111</v>
      </c>
      <c r="AL20" s="50">
        <f t="shared" si="73"/>
        <v>9.3680701754385982</v>
      </c>
      <c r="AM20" s="50">
        <f t="shared" si="73"/>
        <v>7.0667910447761191</v>
      </c>
      <c r="AN20" s="50">
        <f t="shared" si="73"/>
        <v>5.7696721311475407</v>
      </c>
      <c r="AO20" s="50">
        <f t="shared" si="73"/>
        <v>1.6487394957983192</v>
      </c>
      <c r="AP20" s="50">
        <f t="shared" si="73"/>
        <v>-0.52577777777777779</v>
      </c>
      <c r="AQ20" s="50">
        <f t="shared" si="73"/>
        <v>-4.6620192307692312</v>
      </c>
      <c r="AR20" s="50">
        <f t="shared" si="73"/>
        <v>0.69418386491557227</v>
      </c>
      <c r="AS20" s="50">
        <f t="shared" si="73"/>
        <v>0.706078431372549</v>
      </c>
      <c r="AT20" s="50">
        <f t="shared" si="73"/>
        <v>0.28080614203454896</v>
      </c>
      <c r="AU20" s="50">
        <f t="shared" si="73"/>
        <v>0.56312056737588656</v>
      </c>
      <c r="AV20" s="50">
        <f t="shared" si="73"/>
        <v>0.22846580406654343</v>
      </c>
      <c r="AW20" s="50">
        <f t="shared" si="73"/>
        <v>-0.36105072463768112</v>
      </c>
      <c r="AX20" s="50">
        <f t="shared" si="73"/>
        <v>0</v>
      </c>
      <c r="AY20" s="50">
        <f t="shared" si="73"/>
        <v>-2.2758064516129033</v>
      </c>
      <c r="AZ20" s="50">
        <f t="shared" si="73"/>
        <v>-4.9818181818181815</v>
      </c>
      <c r="BA20" s="50">
        <f t="shared" si="73"/>
        <v>0</v>
      </c>
      <c r="BB20" s="50">
        <f t="shared" si="73"/>
        <v>-0.26913580246913582</v>
      </c>
      <c r="BC20" s="50">
        <f t="shared" si="73"/>
        <v>-0.76753246753246751</v>
      </c>
      <c r="BD20" s="50">
        <f t="shared" si="73"/>
        <v>2.8471462934616221</v>
      </c>
      <c r="BE20" s="50">
        <f t="shared" si="73"/>
        <v>1.7720106244167992</v>
      </c>
      <c r="BF20" s="50">
        <f t="shared" si="73"/>
        <v>1.6900319519420897</v>
      </c>
      <c r="BG20" s="50">
        <f t="shared" si="73"/>
        <v>3.4053616336415242</v>
      </c>
      <c r="BH20" s="50">
        <f t="shared" si="73"/>
        <v>2.9878583852357687</v>
      </c>
      <c r="BI20" s="50">
        <f t="shared" si="73"/>
        <v>2.5732889990989212</v>
      </c>
      <c r="BJ20" s="50">
        <f t="shared" si="73"/>
        <v>7.4440143566102108</v>
      </c>
      <c r="BK20" s="50">
        <f t="shared" si="73"/>
        <v>6.3041748967315812</v>
      </c>
      <c r="BL20" s="50">
        <f t="shared" si="73"/>
        <v>4.7051641690645516</v>
      </c>
      <c r="BM20" s="50"/>
      <c r="BN20" s="51">
        <f>BN9/(BN19*10)</f>
        <v>-0.33669205617545933</v>
      </c>
      <c r="BO20" s="51">
        <f>BO9/(BO19*10)</f>
        <v>1.2732906620860009</v>
      </c>
      <c r="BP20" s="51"/>
      <c r="BQ20" s="51">
        <f>BQ9/(BQ19*10)</f>
        <v>0.33978649927320864</v>
      </c>
      <c r="BR20" s="51">
        <f>BR9/(BR19*10)</f>
        <v>-2.8043487169808978</v>
      </c>
      <c r="BS20" s="50">
        <f t="shared" si="73"/>
        <v>-3.3779925323962221</v>
      </c>
      <c r="BT20" s="50">
        <f t="shared" si="73"/>
        <v>-5.5545027458620195</v>
      </c>
      <c r="BU20" s="50">
        <f t="shared" si="73"/>
        <v>-6.8252032993108802</v>
      </c>
      <c r="BV20" s="50">
        <f t="shared" si="73"/>
        <v>17.372291901730964</v>
      </c>
      <c r="BW20" s="50">
        <f t="shared" si="73"/>
        <v>7.7871925418942354</v>
      </c>
      <c r="BX20" s="50">
        <f t="shared" si="73"/>
        <v>8.3177047546164538</v>
      </c>
      <c r="BY20" s="49"/>
      <c r="BZ20" s="50">
        <f t="shared" ref="BZ20:CE20" si="74">BZ9/(BZ19*10)</f>
        <v>-7.6402960516508482</v>
      </c>
      <c r="CA20" s="50">
        <f t="shared" si="74"/>
        <v>-6.8817509686723701</v>
      </c>
      <c r="CB20" s="50">
        <f t="shared" si="74"/>
        <v>-0.67494502119197541</v>
      </c>
      <c r="CC20" s="50">
        <f t="shared" si="74"/>
        <v>-4.2191681314652438</v>
      </c>
      <c r="CD20" s="50">
        <f t="shared" si="74"/>
        <v>-3.7170095659474995</v>
      </c>
      <c r="CE20" s="50">
        <f t="shared" si="74"/>
        <v>-4.0571540629602145</v>
      </c>
      <c r="CF20" s="50"/>
      <c r="CG20" s="50">
        <f>CG9/(CG19*10)</f>
        <v>2.0719272319859487</v>
      </c>
      <c r="CH20" s="50">
        <f>CH9/(CH19*10)</f>
        <v>3.1050197453170867</v>
      </c>
      <c r="CI20" s="50">
        <f>CI9/(CI19*10)</f>
        <v>3.7886445220507352</v>
      </c>
      <c r="CJ20" s="50"/>
      <c r="CK20" s="50">
        <f t="shared" ref="CK20:DJ20" si="75">CK9/(CK19*10)</f>
        <v>-0.99706524962420884</v>
      </c>
      <c r="CL20" s="50">
        <f t="shared" si="75"/>
        <v>-1.1028993945856453</v>
      </c>
      <c r="CM20" s="50">
        <f t="shared" si="75"/>
        <v>-0.80377161605099001</v>
      </c>
      <c r="CN20" s="50">
        <f t="shared" si="75"/>
        <v>-1.8181156960674978</v>
      </c>
      <c r="CO20" s="50">
        <f t="shared" si="75"/>
        <v>-1.5112455132062161</v>
      </c>
      <c r="CP20" s="50">
        <f t="shared" si="75"/>
        <v>-4.2248930958608382</v>
      </c>
      <c r="CQ20" s="50">
        <f t="shared" si="75"/>
        <v>-3.7328110886943606</v>
      </c>
      <c r="CR20" s="50">
        <f t="shared" si="75"/>
        <v>-2.7673407825217762</v>
      </c>
      <c r="CS20" s="50"/>
      <c r="CT20" s="50"/>
      <c r="CU20" s="50"/>
      <c r="CV20" s="50">
        <f t="shared" si="75"/>
        <v>1.019128606277232</v>
      </c>
      <c r="CW20" s="50">
        <f t="shared" si="75"/>
        <v>0.56091095857957929</v>
      </c>
      <c r="CX20" s="50">
        <f t="shared" si="75"/>
        <v>-2.69081144313233</v>
      </c>
      <c r="CY20" s="52">
        <f t="shared" si="75"/>
        <v>-0.210505455752687</v>
      </c>
      <c r="CZ20" s="52">
        <f t="shared" si="75"/>
        <v>-1.1544841453865655</v>
      </c>
      <c r="DA20" s="52">
        <f t="shared" si="75"/>
        <v>-0.38203421641372409</v>
      </c>
      <c r="DB20" s="52">
        <f t="shared" ref="DB20" si="76">DB9/(DB19*10)</f>
        <v>0.32140281181461405</v>
      </c>
      <c r="DC20" s="52">
        <f t="shared" ref="DC20" si="77">DC9/(DC19*10)</f>
        <v>-2.2884540805208107</v>
      </c>
      <c r="DD20" s="52">
        <f t="shared" ref="DD20" si="78">DD9/(DD19*10)</f>
        <v>-0.97574025144013177</v>
      </c>
      <c r="DE20" s="52">
        <f t="shared" ref="DE20" si="79">DE9/(DE19*10)</f>
        <v>-7.0560757053973857</v>
      </c>
      <c r="DF20" s="52">
        <f t="shared" ref="DF20" si="80">DF9/(DF19*10)</f>
        <v>-3.013668359271668</v>
      </c>
      <c r="DG20" s="52">
        <f t="shared" ref="DG20" si="81">DG9/(DG19*10)</f>
        <v>0.27709604612115535</v>
      </c>
      <c r="DH20" s="50">
        <f t="shared" si="75"/>
        <v>7.8145899633090039</v>
      </c>
      <c r="DI20" s="50">
        <f t="shared" si="75"/>
        <v>6.5252101211565092</v>
      </c>
      <c r="DJ20" s="50">
        <f t="shared" si="75"/>
        <v>9.6596443834763477</v>
      </c>
      <c r="DK20" s="50"/>
      <c r="DL20" s="50"/>
      <c r="DM20" s="50"/>
    </row>
    <row r="21" spans="7:117" x14ac:dyDescent="0.35">
      <c r="T21" s="7"/>
      <c r="AZ21" s="12"/>
      <c r="BO21" s="12"/>
      <c r="BR21" s="12"/>
    </row>
    <row r="23" spans="7:117" x14ac:dyDescent="0.35">
      <c r="G23" t="s">
        <v>77</v>
      </c>
      <c r="H23">
        <v>872158</v>
      </c>
      <c r="I23">
        <v>649110</v>
      </c>
      <c r="K23" s="19">
        <f>N23+Q23+T23+W23+Z23+AC23+AF23+AL23+AO23+AI23+AR23+AU23</f>
        <v>866992</v>
      </c>
      <c r="L23" s="19">
        <f>O23+R23+U23+X23+AA23+AD23+AG23+AM23+AP23+AJ23+AS23+AV23</f>
        <v>645263</v>
      </c>
      <c r="N23">
        <v>40895</v>
      </c>
      <c r="O23">
        <v>30419</v>
      </c>
      <c r="Q23">
        <v>270579</v>
      </c>
      <c r="R23">
        <v>201335</v>
      </c>
      <c r="T23" s="7">
        <v>196745</v>
      </c>
      <c r="U23">
        <v>146345</v>
      </c>
      <c r="W23">
        <v>197945</v>
      </c>
      <c r="X23">
        <v>147239</v>
      </c>
      <c r="Z23">
        <v>22734</v>
      </c>
      <c r="AA23">
        <v>16911</v>
      </c>
      <c r="AC23">
        <v>49446</v>
      </c>
      <c r="AD23">
        <v>36780</v>
      </c>
      <c r="AE23" s="12">
        <v>33595</v>
      </c>
      <c r="AF23">
        <v>18359</v>
      </c>
      <c r="AG23">
        <v>13656</v>
      </c>
      <c r="AI23">
        <v>22605</v>
      </c>
      <c r="AJ23">
        <v>16814</v>
      </c>
      <c r="AK23" s="12">
        <v>15358</v>
      </c>
      <c r="AL23">
        <v>30895</v>
      </c>
      <c r="AM23">
        <v>22978</v>
      </c>
      <c r="AO23">
        <v>12286</v>
      </c>
      <c r="AP23">
        <v>9119</v>
      </c>
      <c r="AQ23" s="12">
        <v>8316</v>
      </c>
      <c r="AR23">
        <v>971</v>
      </c>
      <c r="AS23">
        <v>722</v>
      </c>
      <c r="AT23" s="12">
        <v>660</v>
      </c>
      <c r="AU23">
        <v>3532</v>
      </c>
      <c r="AV23">
        <v>2945</v>
      </c>
      <c r="AW23" s="12">
        <v>2690</v>
      </c>
      <c r="AY23">
        <v>1903</v>
      </c>
      <c r="AZ23" s="12">
        <v>1738</v>
      </c>
      <c r="BB23">
        <v>135</v>
      </c>
      <c r="BC23" s="12">
        <v>123</v>
      </c>
      <c r="BD23">
        <v>117472</v>
      </c>
      <c r="BE23">
        <v>83926</v>
      </c>
      <c r="BG23">
        <v>40509</v>
      </c>
      <c r="BH23">
        <v>29763</v>
      </c>
      <c r="BJ23">
        <v>0</v>
      </c>
      <c r="BK23">
        <v>0</v>
      </c>
      <c r="BL23" s="12">
        <v>0</v>
      </c>
      <c r="BN23">
        <v>93.6</v>
      </c>
      <c r="BO23" s="12">
        <v>58.7</v>
      </c>
      <c r="BQ23">
        <v>15811</v>
      </c>
      <c r="BR23" s="12">
        <v>15465</v>
      </c>
      <c r="BS23">
        <v>104</v>
      </c>
      <c r="BT23">
        <v>46</v>
      </c>
      <c r="BU23" s="12">
        <v>16</v>
      </c>
      <c r="BV23">
        <v>79047</v>
      </c>
      <c r="BW23">
        <v>57818</v>
      </c>
      <c r="BX23">
        <v>56099</v>
      </c>
      <c r="BY23" s="12">
        <v>55691</v>
      </c>
      <c r="CF23">
        <f>441+CF24</f>
        <v>12607</v>
      </c>
      <c r="CG23">
        <f t="shared" ref="CG23:CI23" si="82">441+CG24</f>
        <v>8935</v>
      </c>
      <c r="CH23">
        <f t="shared" si="82"/>
        <v>7101</v>
      </c>
      <c r="CI23">
        <f t="shared" si="82"/>
        <v>6365</v>
      </c>
      <c r="CK23">
        <v>0</v>
      </c>
      <c r="CL23" s="12">
        <v>0</v>
      </c>
      <c r="CM23" s="12">
        <v>0</v>
      </c>
      <c r="CN23" s="12">
        <v>0</v>
      </c>
      <c r="CO23" s="12">
        <v>0</v>
      </c>
      <c r="CP23">
        <v>9035</v>
      </c>
      <c r="CQ23">
        <v>7406</v>
      </c>
      <c r="CR23" s="12">
        <v>6772</v>
      </c>
      <c r="CS23">
        <v>7048</v>
      </c>
      <c r="CT23">
        <v>6182</v>
      </c>
      <c r="CU23" s="12">
        <v>6076</v>
      </c>
      <c r="CV23">
        <v>0</v>
      </c>
      <c r="CW23">
        <v>0</v>
      </c>
      <c r="CX23" s="12">
        <v>0</v>
      </c>
      <c r="CY23">
        <v>21</v>
      </c>
      <c r="CZ23">
        <v>15</v>
      </c>
      <c r="DA23" s="12">
        <v>12</v>
      </c>
    </row>
    <row r="24" spans="7:117" x14ac:dyDescent="0.35">
      <c r="G24" t="s">
        <v>36</v>
      </c>
      <c r="K24" s="19">
        <f>N24+Q24+T24+W24+Z24+AC24+AF24+AL24+AO24+AI24+AR24+AU24</f>
        <v>785800</v>
      </c>
      <c r="L24" s="19">
        <f>O24+R24+U24+X24+AA24+AD24+AG24+AM24+AP24+AJ24+AS24+AV24</f>
        <v>584445</v>
      </c>
      <c r="N24">
        <v>37097</v>
      </c>
      <c r="O24">
        <v>26622</v>
      </c>
      <c r="Q24">
        <v>262657</v>
      </c>
      <c r="R24">
        <v>193409</v>
      </c>
      <c r="T24" s="7">
        <v>177321</v>
      </c>
      <c r="U24">
        <v>126926</v>
      </c>
      <c r="W24">
        <v>178524</v>
      </c>
      <c r="X24">
        <v>127818</v>
      </c>
      <c r="Z24">
        <v>21884</v>
      </c>
      <c r="AA24">
        <v>16060</v>
      </c>
      <c r="AC24">
        <v>48319</v>
      </c>
      <c r="AD24">
        <v>35653</v>
      </c>
      <c r="AE24" s="12">
        <v>32469</v>
      </c>
      <c r="AF24">
        <v>18042</v>
      </c>
      <c r="AG24">
        <v>13339</v>
      </c>
      <c r="AJ24">
        <v>14597</v>
      </c>
      <c r="AK24" s="12">
        <v>13140</v>
      </c>
      <c r="AL24">
        <v>27853</v>
      </c>
      <c r="AM24">
        <v>19940</v>
      </c>
      <c r="AO24">
        <v>10306</v>
      </c>
      <c r="AP24">
        <v>7162</v>
      </c>
      <c r="AQ24" s="12">
        <v>6391</v>
      </c>
      <c r="AR24">
        <v>612</v>
      </c>
      <c r="AS24" s="12">
        <v>363</v>
      </c>
      <c r="AT24" s="12">
        <v>301</v>
      </c>
      <c r="AU24">
        <v>3185</v>
      </c>
      <c r="AV24">
        <v>2556</v>
      </c>
      <c r="AW24" s="12">
        <v>2301</v>
      </c>
      <c r="AY24">
        <v>1270</v>
      </c>
      <c r="AZ24" s="12">
        <v>1105</v>
      </c>
      <c r="BB24">
        <v>117</v>
      </c>
      <c r="BC24" s="12">
        <v>106</v>
      </c>
      <c r="BN24">
        <v>28.3</v>
      </c>
      <c r="BO24" s="12">
        <v>27.5</v>
      </c>
      <c r="BR24" s="12"/>
      <c r="CF24">
        <f>12607-441</f>
        <v>12166</v>
      </c>
      <c r="CG24">
        <f>8935-441</f>
        <v>8494</v>
      </c>
      <c r="CH24">
        <f>7101-441</f>
        <v>6660</v>
      </c>
      <c r="CI24" s="12">
        <f>6365-441</f>
        <v>5924</v>
      </c>
      <c r="CK24">
        <v>0</v>
      </c>
      <c r="CL24" s="12">
        <v>0</v>
      </c>
      <c r="CM24" s="12">
        <v>0</v>
      </c>
      <c r="CN24" s="12">
        <v>0</v>
      </c>
      <c r="CO24" s="12">
        <v>0</v>
      </c>
      <c r="CP24">
        <v>8907</v>
      </c>
      <c r="CQ24">
        <v>7278</v>
      </c>
      <c r="CR24" s="12">
        <v>6644</v>
      </c>
    </row>
    <row r="25" spans="7:117" x14ac:dyDescent="0.35">
      <c r="T25" s="7"/>
      <c r="BO25" s="12"/>
      <c r="BR25" s="12"/>
      <c r="BZ25" t="s">
        <v>55</v>
      </c>
      <c r="CB25" s="12" t="s">
        <v>48</v>
      </c>
    </row>
    <row r="26" spans="7:117" x14ac:dyDescent="0.35">
      <c r="T26" s="7"/>
      <c r="BG26" t="s">
        <v>48</v>
      </c>
      <c r="BO26" s="12"/>
      <c r="BR26" s="12"/>
      <c r="BZ26" t="s">
        <v>53</v>
      </c>
      <c r="CB26" s="12" t="s">
        <v>48</v>
      </c>
      <c r="CC26" t="s">
        <v>54</v>
      </c>
      <c r="CE26" s="12" t="s">
        <v>48</v>
      </c>
      <c r="CF26" t="s">
        <v>105</v>
      </c>
      <c r="CJ26" t="s">
        <v>48</v>
      </c>
    </row>
    <row r="27" spans="7:117" x14ac:dyDescent="0.35">
      <c r="T27" s="7"/>
      <c r="CF27" t="s">
        <v>106</v>
      </c>
      <c r="CJ27" t="s">
        <v>65</v>
      </c>
      <c r="CM27" t="s">
        <v>70</v>
      </c>
      <c r="CS27" s="3"/>
      <c r="DD27"/>
      <c r="DE27" t="s">
        <v>48</v>
      </c>
    </row>
    <row r="28" spans="7:117" x14ac:dyDescent="0.35">
      <c r="T28" s="7"/>
      <c r="BJ28" t="s">
        <v>128</v>
      </c>
      <c r="CF28" t="s">
        <v>109</v>
      </c>
      <c r="CJ28" t="s">
        <v>48</v>
      </c>
      <c r="CK28">
        <v>23406</v>
      </c>
      <c r="CL28" s="12">
        <v>31346</v>
      </c>
      <c r="CM28">
        <v>4230</v>
      </c>
      <c r="CN28">
        <v>7316</v>
      </c>
      <c r="CO28" s="12">
        <v>8733</v>
      </c>
      <c r="DD28"/>
      <c r="DG28"/>
      <c r="DJ28"/>
    </row>
    <row r="29" spans="7:117" x14ac:dyDescent="0.35">
      <c r="T29" s="7"/>
      <c r="CJ29" t="s">
        <v>66</v>
      </c>
      <c r="CL29" s="12" t="s">
        <v>48</v>
      </c>
      <c r="CM29" t="s">
        <v>72</v>
      </c>
      <c r="CO29" s="12" t="s">
        <v>48</v>
      </c>
      <c r="DB29" s="1"/>
      <c r="DD29"/>
    </row>
    <row r="30" spans="7:117" x14ac:dyDescent="0.35">
      <c r="T30" s="7"/>
      <c r="BE30">
        <f>81/55</f>
        <v>1.4727272727272727</v>
      </c>
      <c r="CG30" t="s">
        <v>107</v>
      </c>
      <c r="CH30" t="s">
        <v>108</v>
      </c>
      <c r="CI30" s="12" t="s">
        <v>48</v>
      </c>
      <c r="CJ30" t="s">
        <v>67</v>
      </c>
      <c r="CL30" s="12" t="s">
        <v>48</v>
      </c>
      <c r="CM30">
        <v>3763</v>
      </c>
      <c r="CN30">
        <v>3162</v>
      </c>
      <c r="CO30" s="12">
        <v>-136</v>
      </c>
      <c r="DD30"/>
      <c r="DF30" s="34"/>
      <c r="DG30" s="34"/>
    </row>
    <row r="31" spans="7:117" x14ac:dyDescent="0.35">
      <c r="G31" t="s">
        <v>100</v>
      </c>
      <c r="T31" s="7"/>
      <c r="AZ31" s="12"/>
      <c r="BD31" s="37">
        <v>11.432499999999999</v>
      </c>
      <c r="BE31" s="37">
        <v>11.4788</v>
      </c>
      <c r="BF31" s="37">
        <v>10.6296</v>
      </c>
      <c r="BG31" s="37">
        <v>7.4588999999999999</v>
      </c>
      <c r="BH31" s="37">
        <v>7.4508999999999999</v>
      </c>
      <c r="BI31" s="37">
        <v>7.4396000000000004</v>
      </c>
      <c r="BJ31" s="39">
        <v>11.629</v>
      </c>
      <c r="BK31" s="41">
        <v>11.424799999999999</v>
      </c>
      <c r="BL31" s="41">
        <v>10.102600000000001</v>
      </c>
      <c r="BM31" s="37">
        <v>4.3057999999999996</v>
      </c>
      <c r="BN31" s="42">
        <v>4.5419999999999998</v>
      </c>
      <c r="BO31" s="37">
        <v>4.6860999999999997</v>
      </c>
      <c r="BP31" s="43">
        <v>395.3</v>
      </c>
      <c r="BQ31" s="41">
        <v>381.85</v>
      </c>
      <c r="BR31" s="41">
        <v>391.29</v>
      </c>
      <c r="BS31" s="44">
        <v>25.12</v>
      </c>
      <c r="BT31" s="41">
        <v>24.004000000000001</v>
      </c>
      <c r="BU31" s="41">
        <v>24.565999999999999</v>
      </c>
      <c r="BV31" s="37">
        <v>0.9526</v>
      </c>
      <c r="BW31" s="37">
        <v>0.9718</v>
      </c>
      <c r="BX31" s="37">
        <v>1.0046999999999999</v>
      </c>
      <c r="BY31" s="38" t="s">
        <v>101</v>
      </c>
      <c r="CF31">
        <v>1</v>
      </c>
      <c r="CG31">
        <v>7.3000000000000001E-3</v>
      </c>
      <c r="CH31">
        <f>CG31/(1.0154)^CF31</f>
        <v>7.1892850108331687E-3</v>
      </c>
      <c r="DD31"/>
      <c r="DE31" s="41">
        <v>17.408799999999999</v>
      </c>
      <c r="DF31" s="41">
        <v>25.759699999999999</v>
      </c>
      <c r="DG31" s="41">
        <v>35.573399999999999</v>
      </c>
      <c r="DH31" s="40" t="s">
        <v>101</v>
      </c>
    </row>
    <row r="32" spans="7:117" x14ac:dyDescent="0.35">
      <c r="G32" t="s">
        <v>102</v>
      </c>
      <c r="Q32">
        <f>Q19</f>
        <v>4.3099999999999996</v>
      </c>
      <c r="R32">
        <f t="shared" ref="R32:BC32" si="83">R19</f>
        <v>4.1900000000000004</v>
      </c>
      <c r="S32">
        <f t="shared" si="83"/>
        <v>3.95</v>
      </c>
      <c r="T32">
        <f t="shared" si="83"/>
        <v>2.92</v>
      </c>
      <c r="U32">
        <f t="shared" si="83"/>
        <v>2.83</v>
      </c>
      <c r="V32">
        <f t="shared" si="83"/>
        <v>2.65</v>
      </c>
      <c r="W32">
        <f t="shared" si="83"/>
        <v>2.19</v>
      </c>
      <c r="X32">
        <f t="shared" si="83"/>
        <v>2.13</v>
      </c>
      <c r="Y32">
        <f t="shared" si="83"/>
        <v>2</v>
      </c>
      <c r="Z32">
        <f t="shared" si="83"/>
        <v>1.59</v>
      </c>
      <c r="AA32">
        <f t="shared" si="83"/>
        <v>1.5</v>
      </c>
      <c r="AB32">
        <f t="shared" si="83"/>
        <v>1.37</v>
      </c>
      <c r="AC32">
        <f t="shared" si="83"/>
        <v>1.1299999999999999</v>
      </c>
      <c r="AD32">
        <f t="shared" si="83"/>
        <v>1.07</v>
      </c>
      <c r="AE32">
        <f t="shared" si="83"/>
        <v>0.99</v>
      </c>
      <c r="AF32">
        <f t="shared" si="83"/>
        <v>0.61</v>
      </c>
      <c r="AG32">
        <f t="shared" si="83"/>
        <v>0.6</v>
      </c>
      <c r="AH32">
        <f t="shared" si="83"/>
        <v>0.56000000000000005</v>
      </c>
      <c r="AI32">
        <f t="shared" si="83"/>
        <v>0.48</v>
      </c>
      <c r="AJ32">
        <f t="shared" si="83"/>
        <v>0.47</v>
      </c>
      <c r="AK32">
        <f t="shared" si="83"/>
        <v>0.45</v>
      </c>
      <c r="AL32">
        <f t="shared" si="83"/>
        <v>0.28499999999999998</v>
      </c>
      <c r="AM32">
        <f t="shared" si="83"/>
        <v>0.26800000000000002</v>
      </c>
      <c r="AN32">
        <f t="shared" si="83"/>
        <v>0.24399999999999999</v>
      </c>
      <c r="AO32">
        <f t="shared" si="83"/>
        <v>0.23799999999999999</v>
      </c>
      <c r="AP32">
        <f t="shared" si="83"/>
        <v>0.22500000000000001</v>
      </c>
      <c r="AQ32">
        <f t="shared" si="83"/>
        <v>0.20799999999999999</v>
      </c>
      <c r="AR32">
        <f t="shared" si="83"/>
        <v>0.53300000000000003</v>
      </c>
      <c r="AS32">
        <f t="shared" si="83"/>
        <v>0.51</v>
      </c>
      <c r="AT32">
        <f t="shared" si="83"/>
        <v>0.52100000000000002</v>
      </c>
      <c r="AU32">
        <f t="shared" si="83"/>
        <v>0.56399999999999995</v>
      </c>
      <c r="AV32">
        <f t="shared" si="83"/>
        <v>0.54100000000000004</v>
      </c>
      <c r="AW32">
        <f t="shared" si="83"/>
        <v>0.55200000000000005</v>
      </c>
      <c r="AX32">
        <f t="shared" si="83"/>
        <v>0.13100000000000001</v>
      </c>
      <c r="AY32">
        <f t="shared" si="83"/>
        <v>0.124</v>
      </c>
      <c r="AZ32">
        <f t="shared" si="83"/>
        <v>0.11</v>
      </c>
      <c r="BA32">
        <f t="shared" si="83"/>
        <v>8.5999999999999993E-2</v>
      </c>
      <c r="BB32">
        <f t="shared" si="83"/>
        <v>8.1000000000000003E-2</v>
      </c>
      <c r="BC32">
        <f t="shared" si="83"/>
        <v>7.6999999999999999E-2</v>
      </c>
      <c r="BD32" s="34">
        <v>0.56000000000000005</v>
      </c>
      <c r="BE32" s="34">
        <v>0.54</v>
      </c>
      <c r="BF32" s="35">
        <v>0.55000000000000004</v>
      </c>
      <c r="BG32" s="34">
        <v>0.39700000000000002</v>
      </c>
      <c r="BH32" s="34">
        <v>0.376</v>
      </c>
      <c r="BI32" s="35">
        <v>0.38200000000000001</v>
      </c>
      <c r="BJ32" s="34">
        <v>0.44700000000000001</v>
      </c>
      <c r="BK32" s="34">
        <v>0.44700000000000001</v>
      </c>
      <c r="BL32" s="35">
        <v>0.56699999999999995</v>
      </c>
      <c r="BM32" s="34">
        <v>0.84599999999999997</v>
      </c>
      <c r="BN32" s="34">
        <v>0.752</v>
      </c>
      <c r="BO32" s="35">
        <v>0.66200000000000003</v>
      </c>
      <c r="BP32" s="34">
        <v>0.20599999999999999</v>
      </c>
      <c r="BQ32" s="34">
        <v>0.19800000000000001</v>
      </c>
      <c r="BR32" s="35">
        <v>0.16900000000000001</v>
      </c>
      <c r="BS32" s="34">
        <v>0.31900000000000001</v>
      </c>
      <c r="BT32" s="34">
        <v>0.317</v>
      </c>
      <c r="BU32" s="35">
        <v>0.28699999999999998</v>
      </c>
      <c r="BV32" s="34">
        <v>0.86599999999999999</v>
      </c>
      <c r="BW32" s="34">
        <v>0.82699999999999996</v>
      </c>
      <c r="BX32" s="36">
        <v>0.78700000000000003</v>
      </c>
      <c r="CF32">
        <v>2</v>
      </c>
      <c r="CG32">
        <v>7.3000000000000001E-3</v>
      </c>
      <c r="CH32">
        <f t="shared" ref="CH32:CH40" si="84">CG32/(1.0154)^CF32</f>
        <v>7.0802491735603391E-3</v>
      </c>
      <c r="DD32"/>
      <c r="DE32" s="41">
        <v>1220.3082999999999</v>
      </c>
      <c r="DF32" s="41">
        <v>1030.5136</v>
      </c>
      <c r="DG32" s="41">
        <v>862.30960000000005</v>
      </c>
      <c r="DH32" s="40" t="s">
        <v>101</v>
      </c>
      <c r="DJ32"/>
    </row>
    <row r="33" spans="8:114" x14ac:dyDescent="0.35">
      <c r="T33" s="7"/>
      <c r="CF33">
        <v>3</v>
      </c>
      <c r="CG33">
        <v>7.3000000000000001E-3</v>
      </c>
      <c r="CH33">
        <f t="shared" si="84"/>
        <v>6.9728670214303113E-3</v>
      </c>
      <c r="DC33" s="10"/>
      <c r="DD33"/>
      <c r="DG33"/>
      <c r="DJ33"/>
    </row>
    <row r="34" spans="8:114" x14ac:dyDescent="0.35">
      <c r="H34" t="s">
        <v>132</v>
      </c>
      <c r="K34" t="s">
        <v>48</v>
      </c>
      <c r="T34" s="7"/>
      <c r="BZ34" t="s">
        <v>133</v>
      </c>
      <c r="CC34" t="s">
        <v>48</v>
      </c>
      <c r="CF34">
        <v>4</v>
      </c>
      <c r="CG34">
        <v>7.3000000000000001E-3</v>
      </c>
      <c r="CH34">
        <f t="shared" si="84"/>
        <v>6.867113473931763E-3</v>
      </c>
      <c r="DD34"/>
      <c r="DG34"/>
      <c r="DJ34"/>
    </row>
    <row r="35" spans="8:114" x14ac:dyDescent="0.35">
      <c r="T35" s="4"/>
      <c r="CF35">
        <v>5</v>
      </c>
      <c r="CG35">
        <v>7.3000000000000001E-3</v>
      </c>
      <c r="CH35">
        <f t="shared" si="84"/>
        <v>6.7629638309353573E-3</v>
      </c>
      <c r="DD35"/>
      <c r="DG35"/>
      <c r="DJ35"/>
    </row>
    <row r="36" spans="8:114" x14ac:dyDescent="0.35">
      <c r="CF36">
        <v>6</v>
      </c>
      <c r="CG36">
        <v>7.3000000000000001E-3</v>
      </c>
      <c r="CH36">
        <f t="shared" si="84"/>
        <v>6.6603937669247161E-3</v>
      </c>
      <c r="DD36"/>
      <c r="DJ36"/>
    </row>
    <row r="37" spans="8:114" x14ac:dyDescent="0.35">
      <c r="CF37">
        <v>7</v>
      </c>
      <c r="CG37">
        <v>7.3000000000000001E-3</v>
      </c>
      <c r="CH37">
        <f t="shared" si="84"/>
        <v>6.5593793253148677E-3</v>
      </c>
      <c r="DJ37"/>
    </row>
    <row r="38" spans="8:114" x14ac:dyDescent="0.35">
      <c r="CF38">
        <v>8</v>
      </c>
      <c r="CG38">
        <v>7.3000000000000001E-3</v>
      </c>
      <c r="CH38">
        <f t="shared" si="84"/>
        <v>6.4598969128568714E-3</v>
      </c>
      <c r="DD38"/>
    </row>
    <row r="39" spans="8:114" x14ac:dyDescent="0.35">
      <c r="CF39">
        <v>9</v>
      </c>
      <c r="CG39">
        <v>7.3000000000000001E-3</v>
      </c>
      <c r="CH39">
        <f t="shared" si="84"/>
        <v>6.3619232941273113E-3</v>
      </c>
      <c r="DJ39"/>
    </row>
    <row r="40" spans="8:114" x14ac:dyDescent="0.35">
      <c r="CF40">
        <v>10</v>
      </c>
      <c r="CG40">
        <v>1.0073000000000001</v>
      </c>
      <c r="CH40">
        <f t="shared" si="84"/>
        <v>0.86454428299724528</v>
      </c>
    </row>
    <row r="41" spans="8:114" x14ac:dyDescent="0.35">
      <c r="CH41">
        <f>SUM(CH31:CH40)</f>
        <v>0.92545835480715999</v>
      </c>
    </row>
    <row r="45" spans="8:114" x14ac:dyDescent="0.35">
      <c r="CG45" t="s">
        <v>63</v>
      </c>
    </row>
    <row r="46" spans="8:114" x14ac:dyDescent="0.35">
      <c r="CG46">
        <v>32151</v>
      </c>
    </row>
    <row r="47" spans="8:114" x14ac:dyDescent="0.35">
      <c r="CG47" s="26">
        <v>845.97</v>
      </c>
    </row>
    <row r="48" spans="8:114" x14ac:dyDescent="0.35">
      <c r="CG48" s="27">
        <f>CG46*CG47/1000000</f>
        <v>27.198781470000004</v>
      </c>
    </row>
    <row r="49" spans="85:87" x14ac:dyDescent="0.35">
      <c r="CG49" s="19">
        <f>$CG$48*CH54*CI54/1000</f>
        <v>6364.8956469205805</v>
      </c>
      <c r="CH49" s="19">
        <f>CG49-441</f>
        <v>5923.8956469205805</v>
      </c>
    </row>
    <row r="50" spans="85:87" x14ac:dyDescent="0.35">
      <c r="CG50" s="19">
        <f>$CG$48*CH55*CI55/1000</f>
        <v>7101.0306674061312</v>
      </c>
      <c r="CH50" s="19">
        <f t="shared" ref="CH50:CH52" si="85">CG50-441</f>
        <v>6660.0306674061312</v>
      </c>
    </row>
    <row r="51" spans="85:87" x14ac:dyDescent="0.35">
      <c r="CG51" s="19">
        <f>$CG$48*CH56*CI56/1000</f>
        <v>8953.2948842946007</v>
      </c>
      <c r="CH51" s="19">
        <f t="shared" si="85"/>
        <v>8512.2948842946007</v>
      </c>
    </row>
    <row r="52" spans="85:87" x14ac:dyDescent="0.35">
      <c r="CG52" s="19">
        <f>$CG$48*CH57*CI57/1000</f>
        <v>12606.635211345001</v>
      </c>
      <c r="CH52" s="19">
        <f t="shared" si="85"/>
        <v>12165.635211345001</v>
      </c>
    </row>
    <row r="53" spans="85:87" x14ac:dyDescent="0.35">
      <c r="CG53" t="s">
        <v>61</v>
      </c>
      <c r="CH53" t="s">
        <v>18</v>
      </c>
      <c r="CI53" s="12" t="s">
        <v>62</v>
      </c>
    </row>
    <row r="54" spans="85:87" x14ac:dyDescent="0.35">
      <c r="CG54">
        <v>2022</v>
      </c>
      <c r="CH54">
        <v>1934</v>
      </c>
      <c r="CI54" s="12">
        <v>121</v>
      </c>
    </row>
    <row r="55" spans="85:87" x14ac:dyDescent="0.35">
      <c r="CG55">
        <v>2023</v>
      </c>
      <c r="CH55">
        <v>1963</v>
      </c>
      <c r="CI55" s="12">
        <v>133</v>
      </c>
    </row>
    <row r="56" spans="85:87" x14ac:dyDescent="0.35">
      <c r="CG56">
        <v>2024</v>
      </c>
      <c r="CH56">
        <v>2180</v>
      </c>
      <c r="CI56" s="12">
        <v>151</v>
      </c>
    </row>
    <row r="57" spans="85:87" x14ac:dyDescent="0.35">
      <c r="CG57">
        <v>2025</v>
      </c>
      <c r="CH57">
        <v>3090</v>
      </c>
      <c r="CI57" s="12">
        <v>150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7BC54-FC90-4E0D-8631-7DCAB13F57C3}">
  <dimension ref="B1:AK12"/>
  <sheetViews>
    <sheetView topLeftCell="B1" workbookViewId="0">
      <selection activeCell="G10" sqref="G10"/>
    </sheetView>
  </sheetViews>
  <sheetFormatPr defaultRowHeight="14.5" x14ac:dyDescent="0.35"/>
  <cols>
    <col min="2" max="2" width="14.6328125" customWidth="1"/>
  </cols>
  <sheetData>
    <row r="1" spans="2:37" x14ac:dyDescent="0.35">
      <c r="C1" t="s">
        <v>0</v>
      </c>
      <c r="D1" t="s">
        <v>26</v>
      </c>
      <c r="E1" t="s">
        <v>27</v>
      </c>
      <c r="F1" t="s">
        <v>28</v>
      </c>
      <c r="G1" t="s">
        <v>29</v>
      </c>
      <c r="H1" t="s">
        <v>110</v>
      </c>
      <c r="I1" t="s">
        <v>30</v>
      </c>
      <c r="J1" t="s">
        <v>111</v>
      </c>
      <c r="K1" t="s">
        <v>31</v>
      </c>
      <c r="L1" t="s">
        <v>32</v>
      </c>
      <c r="M1" t="s">
        <v>33</v>
      </c>
      <c r="N1" t="s">
        <v>34</v>
      </c>
      <c r="O1" t="s">
        <v>112</v>
      </c>
      <c r="R1" t="s">
        <v>113</v>
      </c>
      <c r="S1" t="s">
        <v>114</v>
      </c>
      <c r="T1" t="s">
        <v>115</v>
      </c>
      <c r="U1" s="1" t="s">
        <v>1</v>
      </c>
      <c r="V1" t="s">
        <v>35</v>
      </c>
      <c r="Y1" t="s">
        <v>113</v>
      </c>
      <c r="Z1" t="s">
        <v>116</v>
      </c>
      <c r="AA1" t="s">
        <v>117</v>
      </c>
      <c r="AB1" t="s">
        <v>118</v>
      </c>
      <c r="AC1" t="s">
        <v>119</v>
      </c>
      <c r="AD1" t="s">
        <v>120</v>
      </c>
      <c r="AE1" t="s">
        <v>121</v>
      </c>
      <c r="AH1" t="s">
        <v>113</v>
      </c>
      <c r="AI1" t="s">
        <v>114</v>
      </c>
      <c r="AJ1" t="s">
        <v>122</v>
      </c>
      <c r="AK1" t="s">
        <v>35</v>
      </c>
    </row>
    <row r="2" spans="2:37" x14ac:dyDescent="0.35">
      <c r="B2" t="s">
        <v>127</v>
      </c>
      <c r="C2" t="s">
        <v>0</v>
      </c>
      <c r="D2" t="s">
        <v>1</v>
      </c>
      <c r="E2" t="s">
        <v>43</v>
      </c>
      <c r="F2" t="s">
        <v>42</v>
      </c>
      <c r="G2" t="s">
        <v>41</v>
      </c>
      <c r="H2" t="s">
        <v>40</v>
      </c>
      <c r="I2" t="s">
        <v>123</v>
      </c>
      <c r="J2" t="s">
        <v>37</v>
      </c>
      <c r="K2" t="s">
        <v>20</v>
      </c>
      <c r="L2" t="s">
        <v>21</v>
      </c>
      <c r="M2" t="s">
        <v>25</v>
      </c>
      <c r="N2" t="s">
        <v>10</v>
      </c>
      <c r="O2" t="s">
        <v>50</v>
      </c>
      <c r="P2" t="s">
        <v>12</v>
      </c>
      <c r="Q2" t="s">
        <v>11</v>
      </c>
      <c r="R2" t="s">
        <v>15</v>
      </c>
      <c r="S2" t="s">
        <v>124</v>
      </c>
      <c r="T2" t="s">
        <v>19</v>
      </c>
      <c r="U2" t="s">
        <v>1</v>
      </c>
      <c r="X2">
        <v>2022</v>
      </c>
      <c r="Y2" s="10">
        <f>R12</f>
        <v>7.4651532349602725</v>
      </c>
      <c r="Z2" s="10">
        <f t="shared" ref="Z2:AB2" si="0">S11</f>
        <v>0.39991150442477874</v>
      </c>
      <c r="AA2" s="10">
        <f t="shared" si="0"/>
        <v>0.2</v>
      </c>
      <c r="AB2" s="10">
        <f t="shared" si="0"/>
        <v>0.19080578512396695</v>
      </c>
      <c r="AC2" s="10">
        <f t="shared" ref="AC2:AE4" si="1">Z7</f>
        <v>-1.5</v>
      </c>
      <c r="AD2" s="10">
        <f t="shared" si="1"/>
        <v>-12.3</v>
      </c>
      <c r="AE2" s="10">
        <f t="shared" si="1"/>
        <v>2.678202479338843</v>
      </c>
      <c r="AG2" t="s">
        <v>125</v>
      </c>
      <c r="AH2">
        <v>8.3000000000000007</v>
      </c>
      <c r="AI2">
        <v>-7.6</v>
      </c>
      <c r="AJ2">
        <v>-4.2</v>
      </c>
      <c r="AK2">
        <v>2.1</v>
      </c>
    </row>
    <row r="3" spans="2:37" x14ac:dyDescent="0.35">
      <c r="S3" t="s">
        <v>126</v>
      </c>
      <c r="U3" s="1"/>
      <c r="X3">
        <v>2023</v>
      </c>
      <c r="Y3" s="10">
        <f>R9</f>
        <v>7.8722012578616356</v>
      </c>
      <c r="Z3" s="10">
        <f t="shared" ref="Z3:AB3" si="2">S8</f>
        <v>0.3</v>
      </c>
      <c r="AA3" s="10">
        <f t="shared" si="2"/>
        <v>-1.0456738131699848</v>
      </c>
      <c r="AB3" s="10">
        <f t="shared" si="2"/>
        <v>0.12563593004769474</v>
      </c>
      <c r="AC3" s="10">
        <f t="shared" si="1"/>
        <v>-17.399999999999999</v>
      </c>
      <c r="AD3" s="10">
        <f t="shared" si="1"/>
        <v>-13.2</v>
      </c>
      <c r="AE3" s="10">
        <f t="shared" si="1"/>
        <v>4.5840620031796506</v>
      </c>
      <c r="AG3" t="s">
        <v>131</v>
      </c>
      <c r="AH3">
        <v>17.37</v>
      </c>
      <c r="AI3">
        <v>-7.64</v>
      </c>
      <c r="AJ3">
        <v>-4.22</v>
      </c>
      <c r="AK3">
        <v>4.37</v>
      </c>
    </row>
    <row r="4" spans="2:37" x14ac:dyDescent="0.35">
      <c r="C4">
        <v>2024</v>
      </c>
      <c r="D4">
        <v>2024</v>
      </c>
      <c r="E4">
        <v>2024</v>
      </c>
      <c r="F4">
        <v>2024</v>
      </c>
      <c r="G4">
        <v>2024</v>
      </c>
      <c r="H4">
        <v>2024</v>
      </c>
      <c r="I4">
        <v>2024</v>
      </c>
      <c r="J4">
        <v>2024</v>
      </c>
      <c r="K4">
        <v>2024</v>
      </c>
      <c r="L4">
        <v>2024</v>
      </c>
      <c r="M4">
        <v>2024</v>
      </c>
      <c r="N4">
        <v>2024</v>
      </c>
      <c r="O4">
        <v>2024</v>
      </c>
      <c r="P4">
        <v>2024</v>
      </c>
      <c r="Q4">
        <v>2024</v>
      </c>
      <c r="R4">
        <v>2024</v>
      </c>
      <c r="S4">
        <v>2024</v>
      </c>
      <c r="T4">
        <v>2024</v>
      </c>
      <c r="U4" s="1">
        <v>2024</v>
      </c>
      <c r="V4" s="1">
        <v>2024</v>
      </c>
      <c r="X4">
        <v>2024</v>
      </c>
      <c r="Y4" s="10">
        <f>R6</f>
        <v>16.781381733021078</v>
      </c>
      <c r="Z4" s="10">
        <f t="shared" ref="Z4:AB4" si="3">S5</f>
        <v>-4.3</v>
      </c>
      <c r="AA4" s="10">
        <f t="shared" si="3"/>
        <v>-2.4</v>
      </c>
      <c r="AB4" s="10">
        <f t="shared" si="3"/>
        <v>-0.7017699115044248</v>
      </c>
      <c r="AC4" s="10">
        <f t="shared" si="1"/>
        <v>-23.1</v>
      </c>
      <c r="AD4" s="10">
        <f t="shared" si="1"/>
        <v>-17.399999999999999</v>
      </c>
      <c r="AE4" s="10">
        <f t="shared" si="1"/>
        <v>7.4008428150021066</v>
      </c>
    </row>
    <row r="5" spans="2:37" x14ac:dyDescent="0.35">
      <c r="B5" t="s">
        <v>49</v>
      </c>
      <c r="C5" s="9">
        <v>-4.4461778471138844E-2</v>
      </c>
      <c r="D5" s="10">
        <v>-0.7017699115044248</v>
      </c>
      <c r="E5" s="10">
        <v>1.9788918205804749E-4</v>
      </c>
      <c r="F5" s="10">
        <v>2.3826086956521739</v>
      </c>
      <c r="G5" s="10">
        <v>0.20523446019629227</v>
      </c>
      <c r="H5" s="10">
        <v>1.0761421319796953</v>
      </c>
      <c r="I5" s="10">
        <v>-6.2537764350453176E-2</v>
      </c>
      <c r="J5" s="10">
        <v>-1.5611814345991562E-2</v>
      </c>
      <c r="K5" s="10">
        <v>1.0140625000000001</v>
      </c>
      <c r="L5" s="10">
        <v>1.6</v>
      </c>
      <c r="M5" s="10">
        <v>3.5</v>
      </c>
      <c r="N5" s="10">
        <v>2.2623076923076924</v>
      </c>
      <c r="P5" s="10">
        <v>2</v>
      </c>
      <c r="Q5" s="10">
        <v>14.5</v>
      </c>
      <c r="R5" s="10">
        <v>16.781381733021078</v>
      </c>
      <c r="S5" s="10">
        <v>-4.3</v>
      </c>
      <c r="T5" s="10">
        <v>-2.4</v>
      </c>
      <c r="U5" s="54">
        <f>D5</f>
        <v>-0.7017699115044248</v>
      </c>
      <c r="V5" s="54">
        <v>0.4</v>
      </c>
    </row>
    <row r="6" spans="2:37" x14ac:dyDescent="0.35">
      <c r="B6" t="s">
        <v>23</v>
      </c>
      <c r="C6" s="9">
        <v>2.3870514820592823</v>
      </c>
      <c r="D6" s="10">
        <v>7.4008428150021066</v>
      </c>
      <c r="E6" s="10">
        <v>10.54419525065963</v>
      </c>
      <c r="F6" s="10">
        <v>19.173097826086956</v>
      </c>
      <c r="G6" s="10">
        <v>0.1251908396946565</v>
      </c>
      <c r="H6" s="10">
        <v>7.9972081218274109</v>
      </c>
      <c r="I6" s="10">
        <v>0.43474320241691844</v>
      </c>
      <c r="J6" s="10">
        <v>6.5198312236286924</v>
      </c>
      <c r="K6" s="10">
        <v>13.9</v>
      </c>
      <c r="L6" s="10">
        <v>1.8</v>
      </c>
      <c r="M6" s="10">
        <v>2.1</v>
      </c>
      <c r="N6" s="10">
        <v>2.4430769230769229</v>
      </c>
      <c r="P6" s="10">
        <v>16</v>
      </c>
      <c r="Q6" s="10">
        <v>14.5</v>
      </c>
      <c r="R6" s="10">
        <v>16.781381733021078</v>
      </c>
      <c r="S6" s="10">
        <v>-23.1</v>
      </c>
      <c r="T6" s="10">
        <v>-17.399999999999999</v>
      </c>
      <c r="U6" s="54">
        <f>D6</f>
        <v>7.4008428150021066</v>
      </c>
      <c r="V6" s="54">
        <v>7.9</v>
      </c>
      <c r="X6" t="s">
        <v>44</v>
      </c>
      <c r="Y6" t="s">
        <v>113</v>
      </c>
      <c r="Z6" t="s">
        <v>114</v>
      </c>
      <c r="AA6" t="s">
        <v>115</v>
      </c>
      <c r="AB6" s="1" t="s">
        <v>1</v>
      </c>
    </row>
    <row r="7" spans="2:37" x14ac:dyDescent="0.35">
      <c r="C7">
        <v>2023</v>
      </c>
      <c r="D7">
        <v>2023</v>
      </c>
      <c r="E7">
        <v>2023</v>
      </c>
      <c r="F7">
        <v>2023</v>
      </c>
      <c r="G7">
        <v>2023</v>
      </c>
      <c r="H7">
        <v>2023</v>
      </c>
      <c r="I7">
        <v>2023</v>
      </c>
      <c r="J7">
        <v>2023</v>
      </c>
      <c r="K7">
        <v>2023</v>
      </c>
      <c r="L7">
        <v>2023</v>
      </c>
      <c r="M7">
        <v>2023</v>
      </c>
      <c r="N7">
        <v>2023</v>
      </c>
      <c r="O7">
        <v>2023</v>
      </c>
      <c r="P7">
        <v>2023</v>
      </c>
      <c r="Q7">
        <v>2023</v>
      </c>
      <c r="R7">
        <v>2023</v>
      </c>
      <c r="S7">
        <v>2023</v>
      </c>
      <c r="T7">
        <v>2023</v>
      </c>
      <c r="U7" s="1">
        <v>2023</v>
      </c>
      <c r="V7" s="1">
        <v>2023</v>
      </c>
      <c r="X7">
        <v>2022</v>
      </c>
      <c r="Z7" s="10">
        <f t="shared" ref="Z7:AB7" si="4">S12</f>
        <v>-1.5</v>
      </c>
      <c r="AA7" s="10">
        <f t="shared" si="4"/>
        <v>-12.3</v>
      </c>
      <c r="AB7" s="10">
        <f t="shared" si="4"/>
        <v>2.678202479338843</v>
      </c>
    </row>
    <row r="8" spans="2:37" x14ac:dyDescent="0.35">
      <c r="B8" t="s">
        <v>49</v>
      </c>
      <c r="C8" s="10">
        <v>1.1000000000000001</v>
      </c>
      <c r="D8" s="10">
        <v>0.12563593004769474</v>
      </c>
      <c r="E8" s="10">
        <v>0.55929868503443958</v>
      </c>
      <c r="F8" s="10">
        <v>2.0992817238627293</v>
      </c>
      <c r="G8" s="10">
        <v>0.19789695057833859</v>
      </c>
      <c r="H8" s="10">
        <v>1.8639593908629442</v>
      </c>
      <c r="I8" s="10">
        <v>1.2122377622377623</v>
      </c>
      <c r="J8" s="10">
        <v>0.84048582995951415</v>
      </c>
      <c r="K8" s="10">
        <v>1.0837837837837838</v>
      </c>
      <c r="L8" s="10">
        <v>1.5685840707964602</v>
      </c>
      <c r="M8" s="10">
        <v>3.3717391304347828</v>
      </c>
      <c r="N8" s="10">
        <v>1.652247191011236</v>
      </c>
      <c r="O8" s="10">
        <v>0.6</v>
      </c>
      <c r="P8" s="10">
        <v>-0.15851910828025478</v>
      </c>
      <c r="Q8" s="10">
        <v>12.530838323353294</v>
      </c>
      <c r="R8" s="10">
        <v>7.8722012578616356</v>
      </c>
      <c r="S8" s="10">
        <v>0.3</v>
      </c>
      <c r="T8" s="10">
        <v>-1.0456738131699848</v>
      </c>
      <c r="U8" s="54">
        <f t="shared" ref="U8:U9" si="5">D8</f>
        <v>0.12563593004769474</v>
      </c>
      <c r="V8" s="54">
        <v>0.9</v>
      </c>
      <c r="X8">
        <v>2023</v>
      </c>
      <c r="Z8" s="10">
        <f t="shared" ref="Z8:AB8" si="6">S9</f>
        <v>-17.399999999999999</v>
      </c>
      <c r="AA8" s="10">
        <f t="shared" si="6"/>
        <v>-13.2</v>
      </c>
      <c r="AB8" s="10">
        <f t="shared" si="6"/>
        <v>4.5840620031796506</v>
      </c>
    </row>
    <row r="9" spans="2:37" x14ac:dyDescent="0.35">
      <c r="B9" t="s">
        <v>23</v>
      </c>
      <c r="C9" s="10">
        <v>0.7</v>
      </c>
      <c r="D9" s="10">
        <v>4.5840620031796506</v>
      </c>
      <c r="E9" s="10">
        <v>7.9349405134627427</v>
      </c>
      <c r="F9" s="10">
        <v>11.820111731843575</v>
      </c>
      <c r="G9" s="10">
        <v>-1</v>
      </c>
      <c r="H9" s="10">
        <v>5.1180203045685282</v>
      </c>
      <c r="I9" s="10">
        <v>-0.11468531468531469</v>
      </c>
      <c r="J9" s="10">
        <v>4.1708502024291496</v>
      </c>
      <c r="K9" s="10">
        <v>10.237297297297298</v>
      </c>
      <c r="L9" s="10">
        <v>-0.52345132743362832</v>
      </c>
      <c r="M9" s="10">
        <v>1.9570652173913043</v>
      </c>
      <c r="N9" s="10">
        <v>0.69438202247191017</v>
      </c>
      <c r="O9" s="10">
        <v>-4.4000000000000004</v>
      </c>
      <c r="P9" s="10">
        <v>8.7451433121019111</v>
      </c>
      <c r="Q9" s="10">
        <v>12.530838323353294</v>
      </c>
      <c r="R9" s="10">
        <v>7.8722012578616356</v>
      </c>
      <c r="S9" s="10">
        <v>-17.399999999999999</v>
      </c>
      <c r="T9" s="10">
        <v>-13.2</v>
      </c>
      <c r="U9" s="54">
        <f t="shared" si="5"/>
        <v>4.5840620031796506</v>
      </c>
      <c r="V9" s="54">
        <v>5</v>
      </c>
      <c r="X9">
        <v>2024</v>
      </c>
      <c r="Z9" s="10">
        <f t="shared" ref="Z9:AB9" si="7">S6</f>
        <v>-23.1</v>
      </c>
      <c r="AA9" s="10">
        <f t="shared" si="7"/>
        <v>-17.399999999999999</v>
      </c>
      <c r="AB9" s="10">
        <f t="shared" si="7"/>
        <v>7.4008428150021066</v>
      </c>
    </row>
    <row r="10" spans="2:37" x14ac:dyDescent="0.35">
      <c r="C10">
        <v>2022</v>
      </c>
      <c r="D10">
        <v>2022</v>
      </c>
      <c r="E10">
        <v>2022</v>
      </c>
      <c r="F10">
        <v>2022</v>
      </c>
      <c r="G10">
        <v>2022</v>
      </c>
      <c r="H10">
        <v>2022</v>
      </c>
      <c r="I10">
        <v>2022</v>
      </c>
      <c r="J10">
        <v>2022</v>
      </c>
      <c r="K10">
        <v>2022</v>
      </c>
      <c r="L10">
        <v>2022</v>
      </c>
      <c r="M10">
        <v>2022</v>
      </c>
      <c r="N10">
        <v>2022</v>
      </c>
      <c r="O10">
        <v>2022</v>
      </c>
      <c r="P10">
        <v>2022</v>
      </c>
      <c r="Q10">
        <v>2022</v>
      </c>
      <c r="R10">
        <v>2022</v>
      </c>
      <c r="S10">
        <v>2022</v>
      </c>
      <c r="T10">
        <v>2022</v>
      </c>
      <c r="U10" s="1">
        <v>2022</v>
      </c>
      <c r="V10" s="1">
        <v>2022</v>
      </c>
    </row>
    <row r="11" spans="2:37" x14ac:dyDescent="0.35">
      <c r="B11" t="s">
        <v>49</v>
      </c>
      <c r="C11" s="10">
        <v>1.2703862660944205</v>
      </c>
      <c r="D11" s="10">
        <v>0.19080578512396695</v>
      </c>
      <c r="E11" s="10">
        <v>0.47409766454352442</v>
      </c>
      <c r="F11" s="10">
        <v>1.7809072444143534</v>
      </c>
      <c r="G11" s="10">
        <v>0.17654784240150093</v>
      </c>
      <c r="H11" s="10">
        <v>1.7383196721311476</v>
      </c>
      <c r="I11" s="10">
        <v>2.0147492625368733</v>
      </c>
      <c r="J11" s="10">
        <v>1.6383141762452107</v>
      </c>
      <c r="K11" s="10">
        <v>1.1499999999999999</v>
      </c>
      <c r="L11" s="10">
        <v>1.4533613445378151</v>
      </c>
      <c r="M11" s="10">
        <v>3.1887179487179487</v>
      </c>
      <c r="N11" s="10">
        <v>1.5478947368421052</v>
      </c>
      <c r="O11" s="10">
        <v>0.7</v>
      </c>
      <c r="P11" s="10">
        <v>-1.2121333333333333</v>
      </c>
      <c r="Q11" s="10">
        <v>11.70096</v>
      </c>
      <c r="R11" s="10">
        <v>7.4651532349602725</v>
      </c>
      <c r="S11" s="10">
        <v>0.39991150442477874</v>
      </c>
      <c r="T11" s="10">
        <v>0.2</v>
      </c>
      <c r="U11" s="54">
        <f t="shared" ref="U11:U12" si="8">D11</f>
        <v>0.19080578512396695</v>
      </c>
      <c r="V11" s="54">
        <v>0.9</v>
      </c>
    </row>
    <row r="12" spans="2:37" x14ac:dyDescent="0.35">
      <c r="B12" t="s">
        <v>23</v>
      </c>
      <c r="C12" s="10">
        <v>-1.0459227467811159</v>
      </c>
      <c r="D12" s="10">
        <v>2.678202479338843</v>
      </c>
      <c r="E12" s="10">
        <v>6.2169851380042465</v>
      </c>
      <c r="F12" s="10">
        <v>6.9570751523358156</v>
      </c>
      <c r="G12" s="10">
        <v>-1.4027204502814259</v>
      </c>
      <c r="H12" s="10">
        <v>2.3618852459016395</v>
      </c>
      <c r="I12" s="10">
        <v>-3.4067846607669616</v>
      </c>
      <c r="J12" s="10">
        <v>2.2674329501915711</v>
      </c>
      <c r="K12" s="10">
        <v>7.11010101010101</v>
      </c>
      <c r="L12" s="10">
        <v>-4.0743697478991594</v>
      </c>
      <c r="M12" s="10">
        <v>0.75025641025641021</v>
      </c>
      <c r="N12" s="10">
        <v>-1.0489473684210526</v>
      </c>
      <c r="O12" s="10">
        <v>-11.4</v>
      </c>
      <c r="P12" s="10">
        <v>6.5869333333333335</v>
      </c>
      <c r="Q12" s="10">
        <v>11.70096</v>
      </c>
      <c r="R12" s="10">
        <v>7.4651532349602725</v>
      </c>
      <c r="S12" s="10">
        <v>-1.5</v>
      </c>
      <c r="T12" s="10">
        <v>-12.3</v>
      </c>
      <c r="U12" s="54">
        <f t="shared" si="8"/>
        <v>2.678202479338843</v>
      </c>
      <c r="V12" s="54">
        <v>2.9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2CA9F-15C5-470A-8BD4-683B04BB707F}">
  <dimension ref="A1:S5"/>
  <sheetViews>
    <sheetView workbookViewId="0"/>
  </sheetViews>
  <sheetFormatPr defaultRowHeight="14.5" x14ac:dyDescent="0.35"/>
  <cols>
    <col min="1" max="1" width="28.7265625" customWidth="1"/>
  </cols>
  <sheetData>
    <row r="1" spans="1:19" x14ac:dyDescent="0.35">
      <c r="B1" s="1"/>
      <c r="C1" s="21"/>
      <c r="D1" s="22"/>
      <c r="E1" s="21"/>
      <c r="F1" s="22"/>
      <c r="G1" s="21"/>
      <c r="H1" s="22"/>
      <c r="I1" s="21"/>
      <c r="J1" s="22"/>
      <c r="K1" s="21"/>
      <c r="L1" s="22"/>
      <c r="M1" s="21"/>
      <c r="N1" s="22"/>
      <c r="O1" s="21"/>
      <c r="P1" s="22"/>
      <c r="Q1" s="21"/>
      <c r="R1" s="22"/>
      <c r="S1" s="21"/>
    </row>
    <row r="2" spans="1:19" x14ac:dyDescent="0.35">
      <c r="B2" s="1" t="s">
        <v>45</v>
      </c>
    </row>
    <row r="3" spans="1:19" x14ac:dyDescent="0.35">
      <c r="A3" s="1"/>
      <c r="B3" s="1">
        <v>2024</v>
      </c>
      <c r="C3" s="1">
        <v>2023</v>
      </c>
      <c r="D3" s="1">
        <v>2022</v>
      </c>
      <c r="E3" s="1">
        <v>2021</v>
      </c>
      <c r="F3" s="1">
        <v>2020</v>
      </c>
      <c r="G3" s="1">
        <v>2019</v>
      </c>
      <c r="H3" s="1">
        <v>2018</v>
      </c>
      <c r="I3" s="1">
        <v>2017</v>
      </c>
      <c r="J3" s="1">
        <v>2016</v>
      </c>
      <c r="K3" s="1">
        <v>2015</v>
      </c>
      <c r="L3" s="1">
        <v>2014</v>
      </c>
      <c r="M3" s="1">
        <v>2013</v>
      </c>
      <c r="N3" s="1">
        <v>2012</v>
      </c>
      <c r="O3" s="1">
        <v>2011</v>
      </c>
      <c r="P3" s="1">
        <v>2010</v>
      </c>
      <c r="Q3" s="1">
        <v>2009</v>
      </c>
      <c r="R3" s="1">
        <v>2008</v>
      </c>
      <c r="S3" s="1">
        <v>2007</v>
      </c>
    </row>
    <row r="4" spans="1:19" x14ac:dyDescent="0.35">
      <c r="A4" t="s">
        <v>46</v>
      </c>
      <c r="B4">
        <v>80729</v>
      </c>
      <c r="C4">
        <v>-3184</v>
      </c>
      <c r="D4">
        <v>-132480</v>
      </c>
      <c r="E4">
        <v>26300</v>
      </c>
      <c r="F4">
        <v>20869</v>
      </c>
      <c r="G4">
        <v>48852</v>
      </c>
      <c r="H4">
        <v>-14934</v>
      </c>
      <c r="I4">
        <v>54372</v>
      </c>
      <c r="J4">
        <v>24476</v>
      </c>
      <c r="K4">
        <v>-23251</v>
      </c>
      <c r="L4">
        <v>38844</v>
      </c>
      <c r="M4">
        <v>-8743</v>
      </c>
      <c r="N4">
        <v>5956</v>
      </c>
      <c r="O4">
        <v>13029</v>
      </c>
      <c r="P4">
        <v>-20807</v>
      </c>
      <c r="Q4">
        <v>9955</v>
      </c>
      <c r="R4">
        <v>-4729</v>
      </c>
      <c r="S4">
        <v>7996</v>
      </c>
    </row>
    <row r="5" spans="1:19" x14ac:dyDescent="0.35">
      <c r="A5" t="s">
        <v>47</v>
      </c>
      <c r="B5">
        <v>3000</v>
      </c>
      <c r="C5">
        <v>0</v>
      </c>
      <c r="D5">
        <v>0</v>
      </c>
      <c r="E5">
        <v>6000</v>
      </c>
      <c r="F5">
        <v>6000</v>
      </c>
      <c r="G5">
        <v>4000</v>
      </c>
      <c r="H5">
        <v>2000</v>
      </c>
      <c r="I5">
        <v>2000</v>
      </c>
      <c r="J5">
        <v>1730</v>
      </c>
      <c r="K5">
        <v>1000</v>
      </c>
      <c r="L5">
        <v>2000</v>
      </c>
      <c r="M5">
        <v>0</v>
      </c>
      <c r="N5">
        <v>1000</v>
      </c>
      <c r="O5">
        <v>1000</v>
      </c>
      <c r="P5">
        <v>2500</v>
      </c>
      <c r="Q5">
        <v>2500</v>
      </c>
      <c r="R5">
        <v>2500</v>
      </c>
      <c r="S5">
        <v>2500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Charts</vt:lpstr>
      <vt:lpstr>SNB Income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Honohan</dc:creator>
  <cp:lastModifiedBy>Proofreader</cp:lastModifiedBy>
  <dcterms:created xsi:type="dcterms:W3CDTF">2024-05-29T10:18:50Z</dcterms:created>
  <dcterms:modified xsi:type="dcterms:W3CDTF">2025-06-27T06:49:20Z</dcterms:modified>
</cp:coreProperties>
</file>